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mpinkston\Desktop\"/>
    </mc:Choice>
  </mc:AlternateContent>
  <bookViews>
    <workbookView xWindow="0" yWindow="0" windowWidth="20490" windowHeight="7755" tabRatio="764"/>
  </bookViews>
  <sheets>
    <sheet name="StudentInfo" sheetId="35" r:id="rId1"/>
    <sheet name="Task 1_$100000" sheetId="18" r:id="rId2"/>
    <sheet name="Task 1_$200000" sheetId="31" r:id="rId3"/>
    <sheet name="Task 1_$400000" sheetId="32" r:id="rId4"/>
    <sheet name="Task 1_$600000" sheetId="33" r:id="rId5"/>
    <sheet name="Task 2-Analysis" sheetId="23" r:id="rId6"/>
    <sheet name="SCorp30%" sheetId="15" state="hidden" r:id="rId7"/>
    <sheet name="30%Savings" sheetId="16" state="hidden" r:id="rId8"/>
    <sheet name="2016 Tax Rates_Thresholds" sheetId="34" r:id="rId9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4" i="32" l="1"/>
  <c r="C5" i="18"/>
  <c r="D21" i="18"/>
  <c r="E21" i="18"/>
  <c r="A5" i="34"/>
  <c r="C5" i="34"/>
  <c r="C6" i="34"/>
  <c r="A6" i="34"/>
  <c r="C7" i="34"/>
  <c r="A7" i="34"/>
  <c r="C8" i="34"/>
  <c r="A8" i="34"/>
  <c r="C9" i="34"/>
  <c r="A9" i="34"/>
  <c r="C10" i="34"/>
  <c r="A10" i="34"/>
  <c r="C5" i="33"/>
  <c r="D21" i="33"/>
  <c r="C6" i="33"/>
  <c r="C7" i="33"/>
  <c r="C8" i="33"/>
  <c r="C9" i="33"/>
  <c r="D23" i="33"/>
  <c r="D24" i="33"/>
  <c r="D26" i="33"/>
  <c r="D32" i="33"/>
  <c r="D33" i="33"/>
  <c r="D34" i="33"/>
  <c r="D36" i="33"/>
  <c r="D38" i="33"/>
  <c r="H8" i="23"/>
  <c r="C12" i="33"/>
  <c r="C13" i="33"/>
  <c r="F20" i="33"/>
  <c r="C14" i="33"/>
  <c r="C15" i="33"/>
  <c r="C16" i="33"/>
  <c r="F22" i="33"/>
  <c r="F24" i="33"/>
  <c r="F26" i="33"/>
  <c r="F28" i="33"/>
  <c r="F29" i="33"/>
  <c r="F30" i="33"/>
  <c r="F31" i="33"/>
  <c r="F34" i="33"/>
  <c r="F36" i="33"/>
  <c r="F38" i="33"/>
  <c r="I8" i="23"/>
  <c r="E23" i="23"/>
  <c r="C5" i="32"/>
  <c r="D21" i="32"/>
  <c r="C6" i="32"/>
  <c r="C7" i="32"/>
  <c r="C8" i="32"/>
  <c r="C9" i="32"/>
  <c r="D23" i="32"/>
  <c r="D24" i="32"/>
  <c r="D26" i="32"/>
  <c r="D32" i="32"/>
  <c r="D33" i="32"/>
  <c r="D36" i="32"/>
  <c r="D38" i="32"/>
  <c r="F8" i="23"/>
  <c r="C12" i="32"/>
  <c r="C13" i="32"/>
  <c r="F20" i="32"/>
  <c r="C14" i="32"/>
  <c r="C15" i="32"/>
  <c r="C16" i="32"/>
  <c r="F22" i="32"/>
  <c r="F24" i="32"/>
  <c r="F26" i="32"/>
  <c r="F28" i="32"/>
  <c r="F29" i="32"/>
  <c r="F30" i="32"/>
  <c r="F31" i="32"/>
  <c r="F34" i="32"/>
  <c r="F36" i="32"/>
  <c r="F38" i="32"/>
  <c r="G8" i="23"/>
  <c r="E19" i="23"/>
  <c r="C5" i="31"/>
  <c r="D21" i="31"/>
  <c r="C6" i="31"/>
  <c r="C7" i="31"/>
  <c r="C8" i="31"/>
  <c r="C9" i="31"/>
  <c r="D23" i="31"/>
  <c r="D24" i="31"/>
  <c r="D26" i="31"/>
  <c r="D32" i="31"/>
  <c r="D33" i="31"/>
  <c r="D34" i="31"/>
  <c r="D36" i="31"/>
  <c r="D38" i="31"/>
  <c r="D8" i="23"/>
  <c r="C12" i="31"/>
  <c r="C13" i="31"/>
  <c r="F20" i="31"/>
  <c r="C14" i="31"/>
  <c r="C15" i="31"/>
  <c r="C16" i="31"/>
  <c r="F22" i="31"/>
  <c r="F24" i="31"/>
  <c r="F26" i="31"/>
  <c r="F28" i="31"/>
  <c r="F29" i="31"/>
  <c r="F30" i="31"/>
  <c r="F31" i="31"/>
  <c r="F34" i="31"/>
  <c r="F36" i="31"/>
  <c r="F38" i="31"/>
  <c r="E8" i="23"/>
  <c r="E15" i="23"/>
  <c r="C6" i="18"/>
  <c r="C7" i="18"/>
  <c r="C8" i="18"/>
  <c r="C9" i="18"/>
  <c r="D23" i="18"/>
  <c r="D24" i="18"/>
  <c r="D26" i="18"/>
  <c r="D32" i="18"/>
  <c r="D33" i="18"/>
  <c r="D34" i="18"/>
  <c r="D36" i="18"/>
  <c r="D38" i="18"/>
  <c r="B8" i="23"/>
  <c r="C12" i="18"/>
  <c r="C13" i="18"/>
  <c r="F20" i="18"/>
  <c r="C14" i="18"/>
  <c r="C15" i="18"/>
  <c r="C16" i="18"/>
  <c r="F22" i="18"/>
  <c r="F24" i="18"/>
  <c r="F26" i="18"/>
  <c r="F28" i="18"/>
  <c r="F29" i="18"/>
  <c r="F30" i="18"/>
  <c r="F31" i="18"/>
  <c r="F34" i="18"/>
  <c r="F36" i="18"/>
  <c r="F38" i="18"/>
  <c r="C8" i="23"/>
  <c r="E11" i="23"/>
  <c r="I7" i="23"/>
  <c r="I6" i="23"/>
  <c r="I5" i="23"/>
  <c r="H7" i="23"/>
  <c r="H6" i="23"/>
  <c r="H5" i="23"/>
  <c r="G7" i="23"/>
  <c r="G6" i="23"/>
  <c r="G5" i="23"/>
  <c r="F7" i="23"/>
  <c r="F6" i="23"/>
  <c r="F5" i="23"/>
  <c r="E7" i="23"/>
  <c r="E6" i="23"/>
  <c r="E5" i="23"/>
  <c r="D7" i="23"/>
  <c r="D6" i="23"/>
  <c r="D5" i="23"/>
  <c r="C7" i="23"/>
  <c r="C6" i="23"/>
  <c r="C5" i="23"/>
  <c r="B7" i="23"/>
  <c r="B6" i="23"/>
  <c r="B5" i="23"/>
  <c r="D16" i="18"/>
  <c r="D15" i="18"/>
  <c r="D14" i="18"/>
  <c r="D13" i="18"/>
  <c r="D12" i="18"/>
  <c r="D9" i="18"/>
  <c r="D8" i="18"/>
  <c r="D7" i="18"/>
  <c r="D6" i="18"/>
  <c r="D5" i="18"/>
  <c r="D16" i="31"/>
  <c r="D15" i="31"/>
  <c r="D14" i="31"/>
  <c r="D13" i="31"/>
  <c r="D12" i="31"/>
  <c r="D9" i="31"/>
  <c r="D8" i="31"/>
  <c r="D7" i="31"/>
  <c r="D6" i="31"/>
  <c r="D5" i="31"/>
  <c r="D16" i="32"/>
  <c r="D15" i="32"/>
  <c r="D14" i="32"/>
  <c r="D13" i="32"/>
  <c r="D12" i="32"/>
  <c r="D9" i="32"/>
  <c r="D8" i="32"/>
  <c r="D7" i="32"/>
  <c r="D6" i="32"/>
  <c r="D5" i="32"/>
  <c r="F39" i="18"/>
  <c r="F40" i="18"/>
  <c r="G40" i="18"/>
  <c r="G39" i="18"/>
  <c r="G38" i="18"/>
  <c r="G36" i="18"/>
  <c r="G34" i="18"/>
  <c r="G31" i="18"/>
  <c r="G30" i="18"/>
  <c r="G29" i="18"/>
  <c r="G28" i="18"/>
  <c r="G26" i="18"/>
  <c r="G24" i="18"/>
  <c r="G22" i="18"/>
  <c r="G20" i="18"/>
  <c r="F39" i="31"/>
  <c r="F40" i="31"/>
  <c r="G40" i="31"/>
  <c r="G39" i="31"/>
  <c r="G38" i="31"/>
  <c r="G36" i="31"/>
  <c r="G34" i="31"/>
  <c r="G31" i="31"/>
  <c r="G30" i="31"/>
  <c r="G29" i="31"/>
  <c r="G28" i="31"/>
  <c r="G26" i="31"/>
  <c r="G24" i="31"/>
  <c r="G22" i="31"/>
  <c r="G20" i="31"/>
  <c r="F39" i="32"/>
  <c r="F40" i="32"/>
  <c r="G40" i="32"/>
  <c r="G39" i="32"/>
  <c r="G38" i="32"/>
  <c r="G36" i="32"/>
  <c r="G34" i="32"/>
  <c r="G31" i="32"/>
  <c r="G30" i="32"/>
  <c r="G29" i="32"/>
  <c r="G28" i="32"/>
  <c r="G26" i="32"/>
  <c r="G24" i="32"/>
  <c r="G22" i="32"/>
  <c r="G20" i="32"/>
  <c r="C44" i="33"/>
  <c r="D44" i="33"/>
  <c r="E38" i="18"/>
  <c r="E36" i="18"/>
  <c r="E34" i="18"/>
  <c r="E33" i="18"/>
  <c r="E32" i="18"/>
  <c r="E26" i="18"/>
  <c r="E24" i="18"/>
  <c r="E23" i="18"/>
  <c r="E38" i="31"/>
  <c r="E36" i="31"/>
  <c r="E34" i="31"/>
  <c r="E33" i="31"/>
  <c r="E32" i="31"/>
  <c r="E26" i="31"/>
  <c r="E24" i="31"/>
  <c r="E23" i="31"/>
  <c r="E21" i="31"/>
  <c r="E38" i="32"/>
  <c r="E36" i="32"/>
  <c r="E34" i="32"/>
  <c r="E33" i="32"/>
  <c r="E32" i="32"/>
  <c r="E26" i="32"/>
  <c r="E24" i="32"/>
  <c r="E23" i="32"/>
  <c r="E21" i="32"/>
  <c r="C43" i="18"/>
  <c r="D43" i="18"/>
  <c r="C47" i="18"/>
  <c r="D47" i="18"/>
  <c r="C46" i="18"/>
  <c r="D46" i="18"/>
  <c r="C45" i="18"/>
  <c r="D45" i="18"/>
  <c r="C44" i="18"/>
  <c r="D44" i="18"/>
  <c r="C47" i="31"/>
  <c r="D47" i="31"/>
  <c r="C46" i="31"/>
  <c r="D46" i="31"/>
  <c r="C45" i="31"/>
  <c r="D45" i="31"/>
  <c r="C44" i="31"/>
  <c r="D44" i="31"/>
  <c r="C43" i="31"/>
  <c r="D43" i="31"/>
  <c r="C47" i="32"/>
  <c r="D47" i="32"/>
  <c r="C46" i="32"/>
  <c r="D46" i="32"/>
  <c r="C45" i="32"/>
  <c r="D45" i="32"/>
  <c r="C44" i="32"/>
  <c r="D44" i="32"/>
  <c r="C43" i="32"/>
  <c r="D43" i="32"/>
  <c r="C47" i="33"/>
  <c r="D47" i="33"/>
  <c r="C46" i="33"/>
  <c r="D46" i="33"/>
  <c r="C45" i="33"/>
  <c r="D45" i="33"/>
  <c r="C43" i="33"/>
  <c r="D43" i="33"/>
  <c r="F39" i="33"/>
  <c r="F40" i="33"/>
  <c r="G40" i="33"/>
  <c r="G39" i="33"/>
  <c r="G38" i="33"/>
  <c r="G36" i="33"/>
  <c r="G34" i="33"/>
  <c r="G31" i="33"/>
  <c r="G30" i="33"/>
  <c r="G29" i="33"/>
  <c r="G28" i="33"/>
  <c r="G26" i="33"/>
  <c r="G24" i="33"/>
  <c r="G22" i="33"/>
  <c r="G20" i="33"/>
  <c r="E38" i="33"/>
  <c r="E36" i="33"/>
  <c r="E34" i="33"/>
  <c r="E33" i="33"/>
  <c r="E32" i="33"/>
  <c r="E26" i="33"/>
  <c r="E24" i="33"/>
  <c r="E23" i="33"/>
  <c r="E21" i="33"/>
  <c r="D16" i="33"/>
  <c r="D15" i="33"/>
  <c r="D14" i="33"/>
  <c r="D13" i="33"/>
  <c r="D12" i="33"/>
  <c r="D9" i="33"/>
  <c r="D8" i="33"/>
  <c r="D7" i="33"/>
  <c r="D6" i="33"/>
  <c r="D5" i="33"/>
  <c r="D17" i="34"/>
  <c r="B23" i="15"/>
  <c r="C23" i="15"/>
  <c r="B24" i="15"/>
  <c r="C24" i="15"/>
  <c r="E24" i="15"/>
  <c r="F24" i="15"/>
  <c r="B25" i="15"/>
  <c r="B9" i="15"/>
  <c r="C9" i="15"/>
  <c r="E9" i="15"/>
  <c r="F9" i="15"/>
  <c r="B10" i="15"/>
  <c r="C10" i="15"/>
  <c r="U58" i="16"/>
  <c r="P57" i="16"/>
  <c r="J57" i="16"/>
  <c r="Q57" i="16"/>
  <c r="M57" i="16"/>
  <c r="R57" i="16"/>
  <c r="S57" i="16"/>
  <c r="U57" i="16"/>
  <c r="B57" i="16"/>
  <c r="P56" i="16"/>
  <c r="J56" i="16"/>
  <c r="Q56" i="16"/>
  <c r="M56" i="16"/>
  <c r="R56" i="16"/>
  <c r="S56" i="16"/>
  <c r="U56" i="16"/>
  <c r="B56" i="16"/>
  <c r="P55" i="16"/>
  <c r="J55" i="16"/>
  <c r="Q55" i="16"/>
  <c r="M55" i="16"/>
  <c r="R55" i="16"/>
  <c r="S55" i="16"/>
  <c r="U55" i="16"/>
  <c r="B55" i="16"/>
  <c r="P54" i="16"/>
  <c r="J54" i="16"/>
  <c r="Q54" i="16"/>
  <c r="M54" i="16"/>
  <c r="R54" i="16"/>
  <c r="S54" i="16"/>
  <c r="U54" i="16"/>
  <c r="B54" i="16"/>
  <c r="P53" i="16"/>
  <c r="J53" i="16"/>
  <c r="Q53" i="16"/>
  <c r="M53" i="16"/>
  <c r="R53" i="16"/>
  <c r="S53" i="16"/>
  <c r="U53" i="16"/>
  <c r="B53" i="16"/>
  <c r="P52" i="16"/>
  <c r="J52" i="16"/>
  <c r="Q52" i="16"/>
  <c r="M52" i="16"/>
  <c r="R52" i="16"/>
  <c r="S52" i="16"/>
  <c r="U52" i="16"/>
  <c r="B52" i="16"/>
  <c r="P51" i="16"/>
  <c r="J51" i="16"/>
  <c r="Q51" i="16"/>
  <c r="M51" i="16"/>
  <c r="R51" i="16"/>
  <c r="S51" i="16"/>
  <c r="U51" i="16"/>
  <c r="B51" i="16"/>
  <c r="P50" i="16"/>
  <c r="J50" i="16"/>
  <c r="Q50" i="16"/>
  <c r="M50" i="16"/>
  <c r="R50" i="16"/>
  <c r="S50" i="16"/>
  <c r="U50" i="16"/>
  <c r="B50" i="16"/>
  <c r="P49" i="16"/>
  <c r="J49" i="16"/>
  <c r="Q49" i="16"/>
  <c r="M49" i="16"/>
  <c r="R49" i="16"/>
  <c r="S49" i="16"/>
  <c r="U49" i="16"/>
  <c r="B49" i="16"/>
  <c r="P48" i="16"/>
  <c r="J48" i="16"/>
  <c r="Q48" i="16"/>
  <c r="M48" i="16"/>
  <c r="R48" i="16"/>
  <c r="S48" i="16"/>
  <c r="U48" i="16"/>
  <c r="B48" i="16"/>
  <c r="P47" i="16"/>
  <c r="J47" i="16"/>
  <c r="Q47" i="16"/>
  <c r="M47" i="16"/>
  <c r="R47" i="16"/>
  <c r="S47" i="16"/>
  <c r="U47" i="16"/>
  <c r="B47" i="16"/>
  <c r="P46" i="16"/>
  <c r="J46" i="16"/>
  <c r="Q46" i="16"/>
  <c r="M46" i="16"/>
  <c r="R46" i="16"/>
  <c r="S46" i="16"/>
  <c r="U46" i="16"/>
  <c r="B46" i="16"/>
  <c r="P45" i="16"/>
  <c r="J45" i="16"/>
  <c r="Q45" i="16"/>
  <c r="M45" i="16"/>
  <c r="R45" i="16"/>
  <c r="S45" i="16"/>
  <c r="U45" i="16"/>
  <c r="B45" i="16"/>
  <c r="P44" i="16"/>
  <c r="J44" i="16"/>
  <c r="Q44" i="16"/>
  <c r="M44" i="16"/>
  <c r="R44" i="16"/>
  <c r="S44" i="16"/>
  <c r="U44" i="16"/>
  <c r="B44" i="16"/>
  <c r="P43" i="16"/>
  <c r="J43" i="16"/>
  <c r="Q43" i="16"/>
  <c r="M43" i="16"/>
  <c r="R43" i="16"/>
  <c r="S43" i="16"/>
  <c r="U43" i="16"/>
  <c r="B43" i="16"/>
  <c r="P42" i="16"/>
  <c r="J42" i="16"/>
  <c r="Q42" i="16"/>
  <c r="M42" i="16"/>
  <c r="R42" i="16"/>
  <c r="S42" i="16"/>
  <c r="U42" i="16"/>
  <c r="B42" i="16"/>
  <c r="P41" i="16"/>
  <c r="J41" i="16"/>
  <c r="Q41" i="16"/>
  <c r="M41" i="16"/>
  <c r="R41" i="16"/>
  <c r="S41" i="16"/>
  <c r="U41" i="16"/>
  <c r="B41" i="16"/>
  <c r="P40" i="16"/>
  <c r="J40" i="16"/>
  <c r="Q40" i="16"/>
  <c r="M40" i="16"/>
  <c r="R40" i="16"/>
  <c r="S40" i="16"/>
  <c r="U40" i="16"/>
  <c r="B40" i="16"/>
  <c r="P39" i="16"/>
  <c r="J39" i="16"/>
  <c r="Q39" i="16"/>
  <c r="M39" i="16"/>
  <c r="R39" i="16"/>
  <c r="S39" i="16"/>
  <c r="U39" i="16"/>
  <c r="B39" i="16"/>
  <c r="P38" i="16"/>
  <c r="J38" i="16"/>
  <c r="Q38" i="16"/>
  <c r="M38" i="16"/>
  <c r="R38" i="16"/>
  <c r="S38" i="16"/>
  <c r="U38" i="16"/>
  <c r="B38" i="16"/>
  <c r="P37" i="16"/>
  <c r="J37" i="16"/>
  <c r="Q37" i="16"/>
  <c r="M37" i="16"/>
  <c r="R37" i="16"/>
  <c r="S37" i="16"/>
  <c r="U37" i="16"/>
  <c r="B37" i="16"/>
  <c r="P36" i="16"/>
  <c r="J36" i="16"/>
  <c r="Q36" i="16"/>
  <c r="M36" i="16"/>
  <c r="R36" i="16"/>
  <c r="S36" i="16"/>
  <c r="U36" i="16"/>
  <c r="B36" i="16"/>
  <c r="P35" i="16"/>
  <c r="J35" i="16"/>
  <c r="Q35" i="16"/>
  <c r="M35" i="16"/>
  <c r="R35" i="16"/>
  <c r="S35" i="16"/>
  <c r="U35" i="16"/>
  <c r="B35" i="16"/>
  <c r="P34" i="16"/>
  <c r="J34" i="16"/>
  <c r="Q34" i="16"/>
  <c r="M34" i="16"/>
  <c r="R34" i="16"/>
  <c r="S34" i="16"/>
  <c r="U34" i="16"/>
  <c r="B34" i="16"/>
  <c r="P33" i="16"/>
  <c r="J33" i="16"/>
  <c r="Q33" i="16"/>
  <c r="M33" i="16"/>
  <c r="R33" i="16"/>
  <c r="S33" i="16"/>
  <c r="U33" i="16"/>
  <c r="B33" i="16"/>
  <c r="P32" i="16"/>
  <c r="J32" i="16"/>
  <c r="Q32" i="16"/>
  <c r="M32" i="16"/>
  <c r="R32" i="16"/>
  <c r="S32" i="16"/>
  <c r="U32" i="16"/>
  <c r="B32" i="16"/>
  <c r="P31" i="16"/>
  <c r="J31" i="16"/>
  <c r="Q31" i="16"/>
  <c r="M31" i="16"/>
  <c r="R31" i="16"/>
  <c r="S31" i="16"/>
  <c r="U31" i="16"/>
  <c r="B31" i="16"/>
  <c r="P30" i="16"/>
  <c r="J30" i="16"/>
  <c r="Q30" i="16"/>
  <c r="M30" i="16"/>
  <c r="R30" i="16"/>
  <c r="S30" i="16"/>
  <c r="U30" i="16"/>
  <c r="B30" i="16"/>
  <c r="P29" i="16"/>
  <c r="J29" i="16"/>
  <c r="Q29" i="16"/>
  <c r="M29" i="16"/>
  <c r="R29" i="16"/>
  <c r="S29" i="16"/>
  <c r="T29" i="16"/>
  <c r="V29" i="16"/>
  <c r="U29" i="16"/>
  <c r="B29" i="16"/>
  <c r="P28" i="16"/>
  <c r="J28" i="16"/>
  <c r="Q28" i="16"/>
  <c r="M28" i="16"/>
  <c r="R28" i="16"/>
  <c r="S28" i="16"/>
  <c r="U28" i="16"/>
  <c r="B28" i="16"/>
  <c r="P27" i="16"/>
  <c r="J27" i="16"/>
  <c r="Q27" i="16"/>
  <c r="M27" i="16"/>
  <c r="R27" i="16"/>
  <c r="S27" i="16"/>
  <c r="T27" i="16"/>
  <c r="V27" i="16"/>
  <c r="U27" i="16"/>
  <c r="B27" i="16"/>
  <c r="P26" i="16"/>
  <c r="J26" i="16"/>
  <c r="Q26" i="16"/>
  <c r="M26" i="16"/>
  <c r="R26" i="16"/>
  <c r="S26" i="16"/>
  <c r="U26" i="16"/>
  <c r="B26" i="16"/>
  <c r="P25" i="16"/>
  <c r="J25" i="16"/>
  <c r="Q25" i="16"/>
  <c r="M25" i="16"/>
  <c r="R25" i="16"/>
  <c r="S25" i="16"/>
  <c r="T25" i="16"/>
  <c r="V25" i="16"/>
  <c r="U25" i="16"/>
  <c r="B25" i="16"/>
  <c r="P24" i="16"/>
  <c r="J24" i="16"/>
  <c r="Q24" i="16"/>
  <c r="M24" i="16"/>
  <c r="R24" i="16"/>
  <c r="S24" i="16"/>
  <c r="U24" i="16"/>
  <c r="B24" i="16"/>
  <c r="P23" i="16"/>
  <c r="J23" i="16"/>
  <c r="Q23" i="16"/>
  <c r="M23" i="16"/>
  <c r="R23" i="16"/>
  <c r="S23" i="16"/>
  <c r="U23" i="16"/>
  <c r="B23" i="16"/>
  <c r="P22" i="16"/>
  <c r="J22" i="16"/>
  <c r="Q22" i="16"/>
  <c r="M22" i="16"/>
  <c r="R22" i="16"/>
  <c r="S22" i="16"/>
  <c r="U22" i="16"/>
  <c r="B22" i="16"/>
  <c r="P21" i="16"/>
  <c r="J21" i="16"/>
  <c r="Q21" i="16"/>
  <c r="M21" i="16"/>
  <c r="R21" i="16"/>
  <c r="S21" i="16"/>
  <c r="T21" i="16"/>
  <c r="V21" i="16"/>
  <c r="U21" i="16"/>
  <c r="B21" i="16"/>
  <c r="P20" i="16"/>
  <c r="J20" i="16"/>
  <c r="Q20" i="16"/>
  <c r="M20" i="16"/>
  <c r="R20" i="16"/>
  <c r="S20" i="16"/>
  <c r="U20" i="16"/>
  <c r="B20" i="16"/>
  <c r="P19" i="16"/>
  <c r="J19" i="16"/>
  <c r="Q19" i="16"/>
  <c r="M19" i="16"/>
  <c r="R19" i="16"/>
  <c r="S19" i="16"/>
  <c r="T19" i="16"/>
  <c r="V19" i="16"/>
  <c r="U19" i="16"/>
  <c r="B19" i="16"/>
  <c r="P18" i="16"/>
  <c r="J18" i="16"/>
  <c r="Q18" i="16"/>
  <c r="M18" i="16"/>
  <c r="R18" i="16"/>
  <c r="S18" i="16"/>
  <c r="U18" i="16"/>
  <c r="B18" i="16"/>
  <c r="P17" i="16"/>
  <c r="J17" i="16"/>
  <c r="Q17" i="16"/>
  <c r="M17" i="16"/>
  <c r="R17" i="16"/>
  <c r="S17" i="16"/>
  <c r="T17" i="16"/>
  <c r="V17" i="16"/>
  <c r="U17" i="16"/>
  <c r="B17" i="16"/>
  <c r="P16" i="16"/>
  <c r="J16" i="16"/>
  <c r="Q16" i="16"/>
  <c r="M16" i="16"/>
  <c r="R16" i="16"/>
  <c r="S16" i="16"/>
  <c r="U16" i="16"/>
  <c r="B16" i="16"/>
  <c r="P15" i="16"/>
  <c r="J15" i="16"/>
  <c r="Q15" i="16"/>
  <c r="M15" i="16"/>
  <c r="R15" i="16"/>
  <c r="S15" i="16"/>
  <c r="U15" i="16"/>
  <c r="B15" i="16"/>
  <c r="P14" i="16"/>
  <c r="J14" i="16"/>
  <c r="Q14" i="16"/>
  <c r="M14" i="16"/>
  <c r="R14" i="16"/>
  <c r="S14" i="16"/>
  <c r="U14" i="16"/>
  <c r="B14" i="16"/>
  <c r="P13" i="16"/>
  <c r="J13" i="16"/>
  <c r="Q13" i="16"/>
  <c r="M13" i="16"/>
  <c r="R13" i="16"/>
  <c r="S13" i="16"/>
  <c r="U13" i="16"/>
  <c r="B13" i="16"/>
  <c r="P12" i="16"/>
  <c r="J12" i="16"/>
  <c r="Q12" i="16"/>
  <c r="M12" i="16"/>
  <c r="R12" i="16"/>
  <c r="S12" i="16"/>
  <c r="U12" i="16"/>
  <c r="B12" i="16"/>
  <c r="P11" i="16"/>
  <c r="J11" i="16"/>
  <c r="Q11" i="16"/>
  <c r="M11" i="16"/>
  <c r="R11" i="16"/>
  <c r="S11" i="16"/>
  <c r="U11" i="16"/>
  <c r="B11" i="16"/>
  <c r="P10" i="16"/>
  <c r="J10" i="16"/>
  <c r="Q10" i="16"/>
  <c r="M10" i="16"/>
  <c r="R10" i="16"/>
  <c r="S10" i="16"/>
  <c r="U10" i="16"/>
  <c r="B10" i="16"/>
  <c r="P9" i="16"/>
  <c r="J9" i="16"/>
  <c r="Q9" i="16"/>
  <c r="M9" i="16"/>
  <c r="R9" i="16"/>
  <c r="S9" i="16"/>
  <c r="T9" i="16"/>
  <c r="V9" i="16"/>
  <c r="U9" i="16"/>
  <c r="B9" i="16"/>
  <c r="P8" i="16"/>
  <c r="J8" i="16"/>
  <c r="Q8" i="16"/>
  <c r="M8" i="16"/>
  <c r="R8" i="16"/>
  <c r="S8" i="16"/>
  <c r="U8" i="16"/>
  <c r="B8" i="16"/>
  <c r="U7" i="16"/>
  <c r="P7" i="16"/>
  <c r="J7" i="16"/>
  <c r="Q7" i="16"/>
  <c r="M7" i="16"/>
  <c r="R7" i="16"/>
  <c r="S7" i="16"/>
  <c r="B7" i="16"/>
  <c r="B7" i="15"/>
  <c r="C7" i="15"/>
  <c r="B8" i="15"/>
  <c r="E8" i="15"/>
  <c r="C8" i="15"/>
  <c r="B11" i="15"/>
  <c r="H11" i="15"/>
  <c r="B12" i="15"/>
  <c r="F12" i="15"/>
  <c r="B41" i="15"/>
  <c r="I41" i="15"/>
  <c r="B42" i="15"/>
  <c r="F42" i="15"/>
  <c r="I42" i="15"/>
  <c r="B43" i="15"/>
  <c r="I43" i="15"/>
  <c r="B44" i="15"/>
  <c r="I44" i="15"/>
  <c r="B45" i="15"/>
  <c r="I45" i="15"/>
  <c r="B46" i="15"/>
  <c r="I46" i="15"/>
  <c r="G26" i="15"/>
  <c r="G27" i="15"/>
  <c r="G28" i="15"/>
  <c r="G29" i="15"/>
  <c r="E26" i="15"/>
  <c r="E27" i="15"/>
  <c r="E28" i="15"/>
  <c r="E29" i="15"/>
  <c r="B13" i="15"/>
  <c r="B14" i="15"/>
  <c r="E14" i="15"/>
  <c r="B15" i="15"/>
  <c r="F15" i="15"/>
  <c r="B16" i="15"/>
  <c r="B17" i="15"/>
  <c r="B18" i="15"/>
  <c r="B19" i="15"/>
  <c r="C19" i="15"/>
  <c r="B20" i="15"/>
  <c r="B21" i="15"/>
  <c r="B22" i="15"/>
  <c r="C22" i="15"/>
  <c r="B26" i="15"/>
  <c r="C26" i="15"/>
  <c r="B27" i="15"/>
  <c r="C27" i="15"/>
  <c r="B28" i="15"/>
  <c r="B29" i="15"/>
  <c r="F29" i="15"/>
  <c r="B30" i="15"/>
  <c r="F30" i="15"/>
  <c r="B31" i="15"/>
  <c r="C31" i="15"/>
  <c r="B32" i="15"/>
  <c r="B33" i="15"/>
  <c r="H33" i="15"/>
  <c r="B34" i="15"/>
  <c r="B35" i="15"/>
  <c r="F35" i="15"/>
  <c r="B36" i="15"/>
  <c r="B37" i="15"/>
  <c r="B38" i="15"/>
  <c r="F38" i="15"/>
  <c r="B39" i="15"/>
  <c r="F39" i="15"/>
  <c r="B40" i="15"/>
  <c r="B47" i="15"/>
  <c r="F47" i="15"/>
  <c r="B48" i="15"/>
  <c r="F48" i="15"/>
  <c r="B49" i="15"/>
  <c r="B50" i="15"/>
  <c r="C50" i="15"/>
  <c r="E50" i="15"/>
  <c r="F50" i="15"/>
  <c r="J50" i="15"/>
  <c r="D50" i="15"/>
  <c r="B51" i="15"/>
  <c r="C51" i="15"/>
  <c r="E51" i="15"/>
  <c r="F51" i="15"/>
  <c r="J51" i="15"/>
  <c r="D51" i="15"/>
  <c r="B52" i="15"/>
  <c r="F52" i="15"/>
  <c r="B53" i="15"/>
  <c r="B54" i="15"/>
  <c r="H54" i="15"/>
  <c r="B55" i="15"/>
  <c r="H55" i="15"/>
  <c r="B56" i="15"/>
  <c r="F56" i="15"/>
  <c r="B57" i="15"/>
  <c r="E57" i="15"/>
  <c r="F57" i="15"/>
  <c r="G57" i="15"/>
  <c r="E56" i="15"/>
  <c r="G56" i="15"/>
  <c r="C55" i="15"/>
  <c r="E55" i="15"/>
  <c r="I55" i="15"/>
  <c r="G55" i="15"/>
  <c r="C54" i="15"/>
  <c r="E54" i="15"/>
  <c r="F54" i="15"/>
  <c r="J54" i="15"/>
  <c r="D54" i="15"/>
  <c r="I54" i="15"/>
  <c r="G54" i="15"/>
  <c r="E53" i="15"/>
  <c r="F53" i="15"/>
  <c r="G53" i="15"/>
  <c r="E52" i="15"/>
  <c r="G52" i="15"/>
  <c r="G51" i="15"/>
  <c r="H50" i="15"/>
  <c r="G50" i="15"/>
  <c r="E49" i="15"/>
  <c r="F49" i="15"/>
  <c r="G49" i="15"/>
  <c r="E48" i="15"/>
  <c r="G48" i="15"/>
  <c r="C47" i="15"/>
  <c r="E47" i="15"/>
  <c r="I47" i="15"/>
  <c r="H47" i="15"/>
  <c r="G47" i="15"/>
  <c r="E46" i="15"/>
  <c r="F46" i="15"/>
  <c r="G46" i="15"/>
  <c r="E45" i="15"/>
  <c r="F45" i="15"/>
  <c r="G45" i="15"/>
  <c r="C44" i="15"/>
  <c r="E44" i="15"/>
  <c r="H44" i="15"/>
  <c r="G44" i="15"/>
  <c r="C43" i="15"/>
  <c r="E43" i="15"/>
  <c r="F43" i="15"/>
  <c r="H43" i="15"/>
  <c r="G43" i="15"/>
  <c r="E42" i="15"/>
  <c r="G42" i="15"/>
  <c r="C41" i="15"/>
  <c r="E41" i="15"/>
  <c r="F41" i="15"/>
  <c r="J41" i="15"/>
  <c r="D41" i="15"/>
  <c r="H41" i="15"/>
  <c r="G41" i="15"/>
  <c r="C40" i="15"/>
  <c r="E40" i="15"/>
  <c r="F40" i="15"/>
  <c r="H40" i="15"/>
  <c r="G40" i="15"/>
  <c r="E39" i="15"/>
  <c r="G39" i="15"/>
  <c r="E38" i="15"/>
  <c r="G38" i="15"/>
  <c r="E37" i="15"/>
  <c r="F37" i="15"/>
  <c r="G37" i="15"/>
  <c r="C36" i="15"/>
  <c r="E36" i="15"/>
  <c r="F36" i="15"/>
  <c r="H36" i="15"/>
  <c r="G36" i="15"/>
  <c r="E35" i="15"/>
  <c r="G35" i="15"/>
  <c r="E34" i="15"/>
  <c r="F34" i="15"/>
  <c r="G34" i="15"/>
  <c r="E33" i="15"/>
  <c r="F33" i="15"/>
  <c r="G33" i="15"/>
  <c r="C32" i="15"/>
  <c r="E32" i="15"/>
  <c r="F32" i="15"/>
  <c r="H32" i="15"/>
  <c r="G32" i="15"/>
  <c r="E31" i="15"/>
  <c r="F31" i="15"/>
  <c r="G31" i="15"/>
  <c r="E30" i="15"/>
  <c r="G30" i="15"/>
  <c r="C29" i="15"/>
  <c r="C28" i="15"/>
  <c r="F28" i="15"/>
  <c r="J28" i="15"/>
  <c r="D28" i="15"/>
  <c r="H28" i="15"/>
  <c r="F27" i="15"/>
  <c r="H27" i="15"/>
  <c r="H24" i="15"/>
  <c r="G24" i="15"/>
  <c r="G23" i="15"/>
  <c r="F22" i="15"/>
  <c r="H22" i="15"/>
  <c r="C21" i="15"/>
  <c r="E21" i="15"/>
  <c r="F21" i="15"/>
  <c r="H21" i="15"/>
  <c r="G21" i="15"/>
  <c r="C20" i="15"/>
  <c r="E20" i="15"/>
  <c r="F20" i="15"/>
  <c r="J20" i="15"/>
  <c r="D20" i="15"/>
  <c r="H20" i="15"/>
  <c r="G20" i="15"/>
  <c r="H19" i="15"/>
  <c r="E18" i="15"/>
  <c r="F18" i="15"/>
  <c r="G18" i="15"/>
  <c r="C17" i="15"/>
  <c r="E17" i="15"/>
  <c r="F17" i="15"/>
  <c r="H17" i="15"/>
  <c r="G17" i="15"/>
  <c r="C16" i="15"/>
  <c r="E16" i="15"/>
  <c r="F16" i="15"/>
  <c r="J16" i="15"/>
  <c r="D16" i="15"/>
  <c r="H16" i="15"/>
  <c r="G16" i="15"/>
  <c r="E15" i="15"/>
  <c r="C14" i="15"/>
  <c r="H14" i="15"/>
  <c r="C13" i="15"/>
  <c r="E13" i="15"/>
  <c r="F13" i="15"/>
  <c r="H13" i="15"/>
  <c r="G13" i="15"/>
  <c r="G12" i="15"/>
  <c r="H10" i="15"/>
  <c r="G10" i="15"/>
  <c r="H9" i="15"/>
  <c r="G9" i="15"/>
  <c r="G8" i="15"/>
  <c r="H7" i="15"/>
  <c r="D7" i="15"/>
  <c r="T11" i="16"/>
  <c r="V11" i="16"/>
  <c r="C18" i="15"/>
  <c r="J18" i="15"/>
  <c r="D18" i="15"/>
  <c r="T15" i="16"/>
  <c r="V15" i="16"/>
  <c r="T23" i="16"/>
  <c r="V23" i="16"/>
  <c r="T31" i="16"/>
  <c r="V31" i="16"/>
  <c r="T13" i="16"/>
  <c r="V13" i="16"/>
  <c r="C15" i="15"/>
  <c r="J15" i="15"/>
  <c r="D15" i="15"/>
  <c r="H23" i="15"/>
  <c r="T40" i="16"/>
  <c r="V40" i="16"/>
  <c r="T47" i="16"/>
  <c r="V47" i="16"/>
  <c r="T55" i="16"/>
  <c r="V55" i="16"/>
  <c r="T56" i="16"/>
  <c r="V56" i="16"/>
  <c r="H8" i="15"/>
  <c r="F26" i="15"/>
  <c r="J26" i="15"/>
  <c r="D26" i="15"/>
  <c r="H30" i="15"/>
  <c r="C33" i="15"/>
  <c r="J33" i="15"/>
  <c r="D33" i="15"/>
  <c r="H37" i="15"/>
  <c r="C37" i="15"/>
  <c r="J37" i="15"/>
  <c r="D37" i="15"/>
  <c r="C45" i="15"/>
  <c r="J45" i="15"/>
  <c r="D45" i="15"/>
  <c r="J47" i="15"/>
  <c r="D47" i="15"/>
  <c r="H51" i="15"/>
  <c r="F55" i="15"/>
  <c r="J55" i="15"/>
  <c r="D55" i="15"/>
  <c r="F8" i="15"/>
  <c r="F7" i="15"/>
  <c r="T33" i="16"/>
  <c r="V33" i="16"/>
  <c r="T34" i="16"/>
  <c r="V34" i="16"/>
  <c r="T41" i="16"/>
  <c r="V41" i="16"/>
  <c r="T42" i="16"/>
  <c r="V42" i="16"/>
  <c r="T49" i="16"/>
  <c r="V49" i="16"/>
  <c r="T50" i="16"/>
  <c r="V50" i="16"/>
  <c r="T57" i="16"/>
  <c r="V57" i="16"/>
  <c r="J9" i="15"/>
  <c r="D9" i="15"/>
  <c r="J29" i="15"/>
  <c r="D29" i="15"/>
  <c r="H12" i="15"/>
  <c r="G15" i="15"/>
  <c r="F19" i="15"/>
  <c r="H26" i="15"/>
  <c r="C30" i="15"/>
  <c r="J30" i="15"/>
  <c r="D30" i="15"/>
  <c r="T32" i="16"/>
  <c r="V32" i="16"/>
  <c r="T39" i="16"/>
  <c r="V39" i="16"/>
  <c r="T48" i="16"/>
  <c r="V48" i="16"/>
  <c r="F14" i="15"/>
  <c r="J14" i="15"/>
  <c r="D14" i="15"/>
  <c r="H15" i="15"/>
  <c r="H18" i="15"/>
  <c r="E19" i="15"/>
  <c r="E22" i="15"/>
  <c r="J22" i="15"/>
  <c r="D22" i="15"/>
  <c r="H29" i="15"/>
  <c r="G7" i="15"/>
  <c r="G14" i="15"/>
  <c r="G19" i="15"/>
  <c r="G22" i="15"/>
  <c r="H45" i="15"/>
  <c r="I50" i="15"/>
  <c r="I51" i="15"/>
  <c r="E7" i="15"/>
  <c r="J13" i="15"/>
  <c r="D13" i="15"/>
  <c r="J17" i="15"/>
  <c r="D17" i="15"/>
  <c r="J19" i="15"/>
  <c r="D19" i="15"/>
  <c r="J21" i="15"/>
  <c r="D21" i="15"/>
  <c r="J31" i="15"/>
  <c r="D31" i="15"/>
  <c r="J27" i="15"/>
  <c r="D27" i="15"/>
  <c r="T35" i="16"/>
  <c r="V35" i="16"/>
  <c r="T36" i="16"/>
  <c r="V36" i="16"/>
  <c r="T43" i="16"/>
  <c r="V43" i="16"/>
  <c r="T44" i="16"/>
  <c r="V44" i="16"/>
  <c r="T51" i="16"/>
  <c r="V51" i="16"/>
  <c r="T52" i="16"/>
  <c r="V52" i="16"/>
  <c r="E25" i="15"/>
  <c r="F25" i="15"/>
  <c r="C25" i="15"/>
  <c r="J25" i="15"/>
  <c r="D25" i="15"/>
  <c r="H25" i="15"/>
  <c r="G25" i="15"/>
  <c r="T37" i="16"/>
  <c r="V37" i="16"/>
  <c r="T38" i="16"/>
  <c r="V38" i="16"/>
  <c r="T45" i="16"/>
  <c r="V45" i="16"/>
  <c r="T46" i="16"/>
  <c r="V46" i="16"/>
  <c r="T53" i="16"/>
  <c r="V53" i="16"/>
  <c r="T54" i="16"/>
  <c r="V54" i="16"/>
  <c r="E11" i="15"/>
  <c r="F11" i="15"/>
  <c r="C11" i="15"/>
  <c r="J11" i="15"/>
  <c r="D11" i="15"/>
  <c r="G11" i="15"/>
  <c r="H31" i="15"/>
  <c r="C42" i="15"/>
  <c r="J42" i="15"/>
  <c r="D42" i="15"/>
  <c r="H42" i="15"/>
  <c r="C12" i="15"/>
  <c r="E12" i="15"/>
  <c r="T8" i="16"/>
  <c r="V8" i="16"/>
  <c r="T12" i="16"/>
  <c r="V12" i="16"/>
  <c r="T16" i="16"/>
  <c r="V16" i="16"/>
  <c r="T20" i="16"/>
  <c r="V20" i="16"/>
  <c r="T24" i="16"/>
  <c r="V24" i="16"/>
  <c r="T28" i="16"/>
  <c r="V28" i="16"/>
  <c r="E10" i="15"/>
  <c r="F10" i="15"/>
  <c r="C57" i="15"/>
  <c r="I57" i="15"/>
  <c r="H57" i="15"/>
  <c r="C53" i="15"/>
  <c r="J53" i="15"/>
  <c r="D53" i="15"/>
  <c r="I53" i="15"/>
  <c r="H53" i="15"/>
  <c r="C49" i="15"/>
  <c r="J49" i="15"/>
  <c r="D49" i="15"/>
  <c r="I49" i="15"/>
  <c r="H49" i="15"/>
  <c r="C39" i="15"/>
  <c r="J39" i="15"/>
  <c r="D39" i="15"/>
  <c r="H39" i="15"/>
  <c r="C35" i="15"/>
  <c r="J35" i="15"/>
  <c r="D35" i="15"/>
  <c r="H35" i="15"/>
  <c r="F44" i="15"/>
  <c r="J44" i="15"/>
  <c r="D44" i="15"/>
  <c r="J32" i="15"/>
  <c r="D32" i="15"/>
  <c r="J36" i="15"/>
  <c r="D36" i="15"/>
  <c r="J40" i="15"/>
  <c r="D40" i="15"/>
  <c r="J43" i="15"/>
  <c r="D43" i="15"/>
  <c r="J57" i="15"/>
  <c r="D57" i="15"/>
  <c r="C56" i="15"/>
  <c r="J56" i="15"/>
  <c r="D56" i="15"/>
  <c r="I56" i="15"/>
  <c r="H56" i="15"/>
  <c r="C52" i="15"/>
  <c r="J52" i="15"/>
  <c r="D52" i="15"/>
  <c r="I52" i="15"/>
  <c r="H52" i="15"/>
  <c r="C48" i="15"/>
  <c r="J48" i="15"/>
  <c r="D48" i="15"/>
  <c r="I48" i="15"/>
  <c r="H48" i="15"/>
  <c r="C38" i="15"/>
  <c r="J38" i="15"/>
  <c r="D38" i="15"/>
  <c r="H38" i="15"/>
  <c r="C34" i="15"/>
  <c r="J34" i="15"/>
  <c r="D34" i="15"/>
  <c r="H34" i="15"/>
  <c r="C46" i="15"/>
  <c r="J46" i="15"/>
  <c r="D46" i="15"/>
  <c r="H46" i="15"/>
  <c r="J8" i="15"/>
  <c r="D8" i="15"/>
  <c r="J7" i="15"/>
  <c r="T7" i="16"/>
  <c r="T10" i="16"/>
  <c r="V10" i="16"/>
  <c r="T14" i="16"/>
  <c r="V14" i="16"/>
  <c r="T18" i="16"/>
  <c r="V18" i="16"/>
  <c r="T22" i="16"/>
  <c r="V22" i="16"/>
  <c r="T26" i="16"/>
  <c r="V26" i="16"/>
  <c r="T30" i="16"/>
  <c r="V30" i="16"/>
  <c r="J24" i="15"/>
  <c r="D24" i="15"/>
  <c r="E23" i="15"/>
  <c r="F23" i="15"/>
  <c r="J23" i="15"/>
  <c r="D23" i="15"/>
  <c r="J10" i="15"/>
  <c r="D10" i="15"/>
  <c r="J12" i="15"/>
  <c r="D12" i="15"/>
</calcChain>
</file>

<file path=xl/sharedStrings.xml><?xml version="1.0" encoding="utf-8"?>
<sst xmlns="http://schemas.openxmlformats.org/spreadsheetml/2006/main" count="293" uniqueCount="119">
  <si>
    <t>Taxable Income</t>
  </si>
  <si>
    <t>Income Tax</t>
  </si>
  <si>
    <t>-</t>
  </si>
  <si>
    <t>For a sole proprietorship:</t>
  </si>
  <si>
    <t>Earnings</t>
  </si>
  <si>
    <t>Regular SE:  Earnings from $0 to $123,119 face SE tax of 15.3%; each additional dollar up to 199,999 faces an additional 2.4% of the excess over 123,119</t>
  </si>
  <si>
    <t>Medicare surtax:  All earnings over 200,000 taxed at 0.9%</t>
  </si>
  <si>
    <t>Medicare surtax</t>
  </si>
  <si>
    <t>Salary</t>
  </si>
  <si>
    <t>Net Earnings</t>
  </si>
  <si>
    <t>S-corp FICA Social Security</t>
  </si>
  <si>
    <t>S-Corp FICA Medicare</t>
  </si>
  <si>
    <t>S/H FICA Social Security</t>
  </si>
  <si>
    <t>S/H FICA Medicare</t>
  </si>
  <si>
    <t>Proprietorship Income Tax</t>
  </si>
  <si>
    <t>S Corp Income Tax</t>
  </si>
  <si>
    <t>PROPRIETOR SE Social Security</t>
  </si>
  <si>
    <t>PROPRIETOR SE Medicare</t>
  </si>
  <si>
    <t>PROPRIETOR Medicare surtax</t>
  </si>
  <si>
    <t>S CORP Total Regular Medicare</t>
  </si>
  <si>
    <t>S CORP Total Social Security</t>
  </si>
  <si>
    <t>COMPARISON - tax savings if convert to S-corp from Sole Proprietorship</t>
  </si>
  <si>
    <t>Total Savings</t>
  </si>
  <si>
    <t>Regular Medicare Savings</t>
  </si>
  <si>
    <t>Social Security Savings</t>
  </si>
  <si>
    <t>Medicare surtax savings</t>
  </si>
  <si>
    <t>Income Tax Savings</t>
  </si>
  <si>
    <t>Percentage Savings</t>
  </si>
  <si>
    <t>30%Savings</t>
  </si>
  <si>
    <t>S Medicare surtax</t>
  </si>
  <si>
    <t>Schedule E</t>
  </si>
  <si>
    <t>Schedule C</t>
  </si>
  <si>
    <t>Summary for Chart</t>
  </si>
  <si>
    <t>Name</t>
  </si>
  <si>
    <t>Section</t>
  </si>
  <si>
    <t>Date</t>
  </si>
  <si>
    <t>What was the main driver in this tax savings?</t>
  </si>
  <si>
    <t>STEP 1</t>
  </si>
  <si>
    <t>STEP 2</t>
  </si>
  <si>
    <t>STEP 3</t>
  </si>
  <si>
    <t>Yes</t>
  </si>
  <si>
    <t>No</t>
  </si>
  <si>
    <t>unreasonably high</t>
  </si>
  <si>
    <t>unreasonably low</t>
  </si>
  <si>
    <t>Complete the following table with the information calculated from the four income assumptions.</t>
  </si>
  <si>
    <t>Do all taxes change in the same direction if Jayne converts?</t>
  </si>
  <si>
    <t>This amount</t>
  </si>
  <si>
    <t xml:space="preserve">Wages/salary and self-employment income... </t>
  </si>
  <si>
    <t xml:space="preserve">   Single &gt;</t>
  </si>
  <si>
    <t>Please perform the analysis below assuming Daily Buzz's net business income equals:</t>
  </si>
  <si>
    <t>Business income = $100,000</t>
  </si>
  <si>
    <t>Regular income tax</t>
  </si>
  <si>
    <t>Self-employment/payroll tax (in total)</t>
  </si>
  <si>
    <t>Additional Medicare tax</t>
  </si>
  <si>
    <t>Total tax</t>
  </si>
  <si>
    <t>Answer key</t>
  </si>
  <si>
    <t>For income between</t>
  </si>
  <si>
    <t>The tax due Is</t>
  </si>
  <si>
    <t>Plus this % of the excess</t>
  </si>
  <si>
    <t>2016 SE tax</t>
  </si>
  <si>
    <t>Social Security maximum income</t>
  </si>
  <si>
    <t>Proportion of SE income subject to SE tax</t>
  </si>
  <si>
    <t>Social Security tax rate</t>
  </si>
  <si>
    <t>Total SE tax</t>
  </si>
  <si>
    <t>Medicare tax rate</t>
  </si>
  <si>
    <t xml:space="preserve">   Married filing jointly &gt;</t>
  </si>
  <si>
    <t xml:space="preserve">   Additional Medicare tax rate</t>
  </si>
  <si>
    <t>Wage/salary expense for step 2:</t>
  </si>
  <si>
    <t>Sole proprietorship</t>
  </si>
  <si>
    <t>Self-employment income</t>
  </si>
  <si>
    <t>Self-employment tax - Social Security expense (in total)</t>
  </si>
  <si>
    <t>Self-employment tax - Medicare expense (in total)</t>
  </si>
  <si>
    <t>Self-employment tax deduction (above the line)</t>
  </si>
  <si>
    <t>Business income before wage/salary expense FICA</t>
  </si>
  <si>
    <t>Wage/salary expense</t>
  </si>
  <si>
    <t>FICA Social Security expense (employer portion)</t>
  </si>
  <si>
    <t>FICA Medicare expense (employer portion)</t>
  </si>
  <si>
    <t>Business income after FICA and wage expense</t>
  </si>
  <si>
    <t>Above-the-line deductions</t>
  </si>
  <si>
    <t>Taxable income</t>
  </si>
  <si>
    <t>Wage/salary income</t>
  </si>
  <si>
    <t>Schedule C income</t>
  </si>
  <si>
    <t>Schedule E income</t>
  </si>
  <si>
    <t>FICA Social Security expense (employee portion)</t>
  </si>
  <si>
    <t xml:space="preserve">FICA Medicare expense (employee portion) </t>
  </si>
  <si>
    <t>Self-employment tax - Social Security</t>
  </si>
  <si>
    <t>Self-employment tax - Medicare</t>
  </si>
  <si>
    <t xml:space="preserve">Additional Medicare tax </t>
  </si>
  <si>
    <t>Total Social Security/Medicare/additional taxes</t>
  </si>
  <si>
    <t>Total tax (regular income tax + total Social Security/Medicare/additional taxes)</t>
  </si>
  <si>
    <t xml:space="preserve">Total tax savings (cost)  </t>
  </si>
  <si>
    <t>Total tax savings (cost) as % of income before deductions</t>
  </si>
  <si>
    <t>Regular income tax increase (decrease) from converting to S corporation</t>
  </si>
  <si>
    <t>Total tax increase (decrease) from converting to S corporation</t>
  </si>
  <si>
    <t>Social Security tax increase (decrease) from converting to S corporation</t>
  </si>
  <si>
    <t>Additional Medicare tax increase (decrease) from converting to S corporation</t>
  </si>
  <si>
    <t xml:space="preserve">Self-employment tax - Social Security expense (in total) </t>
  </si>
  <si>
    <t>S corporation</t>
  </si>
  <si>
    <t xml:space="preserve">FICA Social Security expense (employer portion) </t>
  </si>
  <si>
    <t>Tax base for self-employment tax</t>
  </si>
  <si>
    <r>
      <t xml:space="preserve">Additional Medicare tax </t>
    </r>
    <r>
      <rPr>
        <i/>
        <sz val="12"/>
        <rFont val="Times New Roman"/>
        <family val="1"/>
      </rPr>
      <t xml:space="preserve"> </t>
    </r>
  </si>
  <si>
    <t xml:space="preserve">Required: Create a "clustered column" chart showing Jayne her total tax liability and her tax liability breakdown.  </t>
  </si>
  <si>
    <t>Business income = $200,000</t>
  </si>
  <si>
    <t>Business income = $400,000</t>
  </si>
  <si>
    <t>Business income = $600,000</t>
  </si>
  <si>
    <t xml:space="preserve">How much total tax will Jayne save if she converts to an S corporation with $100,000 of business income?  </t>
  </si>
  <si>
    <t xml:space="preserve">How much total tax will Jayne save if she converts to an S corporation with $200,000 of business income?  </t>
  </si>
  <si>
    <t xml:space="preserve">How much total tax will Jayne save if she converts to an S corporation with $400,000 of business income?  </t>
  </si>
  <si>
    <t xml:space="preserve">How much total tax will Jayne save if she converts to an S corporation with $600,000 of business income?  </t>
  </si>
  <si>
    <t>Jayne has heard that the IRS will audit S corporations if they feel that the salary being paid to the owner/employees is unreasonable. Is the IRS more concerned with</t>
  </si>
  <si>
    <t>S corporation owners paying themselves an unreasonably high or low salary?</t>
  </si>
  <si>
    <t>Medicare tax increase (decrease) from converting to S corporation</t>
  </si>
  <si>
    <t>Total tax  increase (decrease) from converting to S corporation</t>
  </si>
  <si>
    <t>Wage/salary expense for Step 2:</t>
  </si>
  <si>
    <t xml:space="preserve">Self-employment tax - Social Security Expense (In Total) </t>
  </si>
  <si>
    <t>2016 federal income tax rates, single</t>
  </si>
  <si>
    <r>
      <t>Regular income tax</t>
    </r>
    <r>
      <rPr>
        <i/>
        <sz val="12"/>
        <rFont val="Times New Roman"/>
        <family val="1"/>
      </rPr>
      <t xml:space="preserve"> (hint: use tax table from separate worksheet and round to nearest whole dollar)</t>
    </r>
  </si>
  <si>
    <r>
      <t xml:space="preserve">Regular income tax </t>
    </r>
    <r>
      <rPr>
        <i/>
        <sz val="12"/>
        <rFont val="Times New Roman"/>
        <family val="1"/>
      </rPr>
      <t>(hint: use tax table from separate worksheet and round to nearest whole dollar)</t>
    </r>
  </si>
  <si>
    <t>2016 additional Medicare 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</si>
</sst>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&quot;    &quot;;#,##0&quot;    &quot;;&quot;--    &quot;;@&quot;    &quot;"/>
    <numFmt numFmtId="165" formatCode="_(&quot;$&quot;* #,##0_);_(&quot;$&quot;* \(#,##0\);_(&quot;$&quot;* &quot;-&quot;??_);_(@_)"/>
    <numFmt numFmtId="166" formatCode="0.0%"/>
  </numFmts>
  <fonts count="13" x14ac:knownFonts="1">
    <font>
      <sz val="10"/>
      <name val="MS Sans Serif"/>
    </font>
    <font>
      <sz val="7"/>
      <name val="Helvetica"/>
      <family val="2"/>
    </font>
    <font>
      <sz val="10"/>
      <name val="MS Sans Serif"/>
      <family val="2"/>
    </font>
    <font>
      <u/>
      <sz val="10"/>
      <color theme="10"/>
      <name val="MS Sans Serif"/>
    </font>
    <font>
      <u/>
      <sz val="10"/>
      <color theme="11"/>
      <name val="MS Sans Serif"/>
    </font>
    <font>
      <sz val="12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b/>
      <i/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208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1">
      <alignment horizontal="right"/>
    </xf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applyFont="1" applyAlignment="1">
      <alignment wrapText="1"/>
    </xf>
    <xf numFmtId="43" fontId="0" fillId="0" borderId="0" xfId="4" applyFont="1"/>
    <xf numFmtId="43" fontId="0" fillId="0" borderId="0" xfId="4" applyFont="1" applyAlignment="1">
      <alignment wrapText="1"/>
    </xf>
    <xf numFmtId="0" fontId="0" fillId="0" borderId="0" xfId="0" applyNumberFormat="1"/>
    <xf numFmtId="165" fontId="5" fillId="3" borderId="11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6" xfId="1" applyNumberFormat="1" applyFont="1" applyFill="1" applyBorder="1" applyProtection="1">
      <protection locked="0"/>
    </xf>
    <xf numFmtId="165" fontId="5" fillId="3" borderId="16" xfId="1" applyNumberFormat="1" applyFont="1" applyFill="1" applyBorder="1" applyAlignment="1" applyProtection="1">
      <alignment horizontal="center" vertical="center" wrapText="1"/>
      <protection locked="0"/>
    </xf>
    <xf numFmtId="166" fontId="5" fillId="3" borderId="17" xfId="2" applyNumberFormat="1" applyFont="1" applyFill="1" applyBorder="1" applyProtection="1">
      <protection locked="0"/>
    </xf>
    <xf numFmtId="165" fontId="5" fillId="3" borderId="9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4" xfId="0" applyNumberFormat="1" applyFont="1" applyFill="1" applyBorder="1" applyProtection="1">
      <protection locked="0"/>
    </xf>
    <xf numFmtId="165" fontId="5" fillId="3" borderId="0" xfId="0" applyNumberFormat="1" applyFont="1" applyFill="1" applyProtection="1">
      <protection locked="0"/>
    </xf>
    <xf numFmtId="0" fontId="5" fillId="3" borderId="0" xfId="0" applyFont="1" applyFill="1" applyProtection="1">
      <protection locked="0"/>
    </xf>
    <xf numFmtId="165" fontId="5" fillId="3" borderId="15" xfId="1" applyNumberFormat="1" applyFont="1" applyFill="1" applyBorder="1" applyProtection="1">
      <protection locked="0"/>
    </xf>
    <xf numFmtId="165" fontId="5" fillId="3" borderId="17" xfId="1" applyNumberFormat="1" applyFont="1" applyFill="1" applyBorder="1" applyProtection="1">
      <protection locked="0"/>
    </xf>
    <xf numFmtId="165" fontId="5" fillId="3" borderId="18" xfId="1" applyNumberFormat="1" applyFont="1" applyFill="1" applyBorder="1" applyProtection="1">
      <protection locked="0"/>
    </xf>
    <xf numFmtId="0" fontId="5" fillId="2" borderId="0" xfId="0" applyFont="1" applyFill="1" applyProtection="1"/>
    <xf numFmtId="0" fontId="5" fillId="4" borderId="4" xfId="0" applyFont="1" applyFill="1" applyBorder="1" applyProtection="1"/>
    <xf numFmtId="0" fontId="5" fillId="2" borderId="4" xfId="0" applyFont="1" applyFill="1" applyBorder="1" applyAlignment="1" applyProtection="1">
      <alignment horizontal="center"/>
    </xf>
    <xf numFmtId="165" fontId="5" fillId="2" borderId="4" xfId="1" applyNumberFormat="1" applyFont="1" applyFill="1" applyBorder="1" applyAlignment="1" applyProtection="1">
      <alignment horizontal="center" vertical="center" wrapText="1"/>
    </xf>
    <xf numFmtId="165" fontId="5" fillId="2" borderId="0" xfId="0" applyNumberFormat="1" applyFont="1" applyFill="1" applyProtection="1"/>
    <xf numFmtId="0" fontId="5" fillId="3" borderId="0" xfId="0" applyFont="1" applyFill="1" applyProtection="1"/>
    <xf numFmtId="165" fontId="5" fillId="2" borderId="0" xfId="1" applyNumberFormat="1" applyFont="1" applyFill="1" applyBorder="1" applyProtection="1"/>
    <xf numFmtId="0" fontId="5" fillId="2" borderId="15" xfId="0" applyFont="1" applyFill="1" applyBorder="1" applyProtection="1"/>
    <xf numFmtId="0" fontId="5" fillId="2" borderId="10" xfId="0" applyFont="1" applyFill="1" applyBorder="1" applyProtection="1"/>
    <xf numFmtId="165" fontId="5" fillId="2" borderId="16" xfId="1" applyNumberFormat="1" applyFont="1" applyFill="1" applyBorder="1" applyProtection="1"/>
    <xf numFmtId="0" fontId="5" fillId="2" borderId="16" xfId="0" applyFont="1" applyFill="1" applyBorder="1" applyProtection="1"/>
    <xf numFmtId="0" fontId="5" fillId="2" borderId="12" xfId="0" applyFont="1" applyFill="1" applyBorder="1" applyProtection="1"/>
    <xf numFmtId="0" fontId="8" fillId="2" borderId="0" xfId="0" applyFont="1" applyFill="1" applyProtection="1"/>
    <xf numFmtId="0" fontId="6" fillId="2" borderId="0" xfId="0" applyFont="1" applyFill="1" applyAlignment="1" applyProtection="1">
      <alignment horizontal="center"/>
    </xf>
    <xf numFmtId="0" fontId="6" fillId="2" borderId="0" xfId="0" applyNumberFormat="1" applyFont="1" applyFill="1" applyBorder="1" applyProtection="1"/>
    <xf numFmtId="0" fontId="5" fillId="2" borderId="17" xfId="0" applyFont="1" applyFill="1" applyBorder="1" applyProtection="1"/>
    <xf numFmtId="165" fontId="5" fillId="0" borderId="0" xfId="1" applyNumberFormat="1" applyFont="1" applyFill="1" applyBorder="1" applyProtection="1"/>
    <xf numFmtId="0" fontId="5" fillId="2" borderId="0" xfId="0" applyNumberFormat="1" applyFont="1" applyFill="1" applyProtection="1"/>
    <xf numFmtId="165" fontId="5" fillId="2" borderId="0" xfId="0" applyNumberFormat="1" applyFont="1" applyFill="1" applyBorder="1" applyProtection="1"/>
    <xf numFmtId="0" fontId="5" fillId="2" borderId="0" xfId="0" applyFont="1" applyFill="1" applyBorder="1" applyProtection="1"/>
    <xf numFmtId="165" fontId="6" fillId="2" borderId="0" xfId="0" applyNumberFormat="1" applyFont="1" applyFill="1" applyBorder="1" applyProtection="1"/>
    <xf numFmtId="44" fontId="5" fillId="2" borderId="16" xfId="1" applyNumberFormat="1" applyFont="1" applyFill="1" applyBorder="1" applyProtection="1"/>
    <xf numFmtId="165" fontId="5" fillId="2" borderId="18" xfId="1" applyNumberFormat="1" applyFont="1" applyFill="1" applyBorder="1" applyProtection="1"/>
    <xf numFmtId="0" fontId="6" fillId="2" borderId="0" xfId="0" applyFont="1" applyFill="1" applyBorder="1" applyProtection="1"/>
    <xf numFmtId="0" fontId="6" fillId="2" borderId="10" xfId="0" applyFont="1" applyFill="1" applyBorder="1" applyProtection="1"/>
    <xf numFmtId="165" fontId="6" fillId="2" borderId="16" xfId="0" applyNumberFormat="1" applyFont="1" applyFill="1" applyBorder="1" applyProtection="1"/>
    <xf numFmtId="165" fontId="5" fillId="2" borderId="16" xfId="0" applyNumberFormat="1" applyFont="1" applyFill="1" applyBorder="1" applyProtection="1"/>
    <xf numFmtId="0" fontId="5" fillId="2" borderId="13" xfId="0" applyFont="1" applyFill="1" applyBorder="1" applyProtection="1"/>
    <xf numFmtId="166" fontId="5" fillId="2" borderId="17" xfId="2" applyNumberFormat="1" applyFont="1" applyFill="1" applyBorder="1" applyProtection="1"/>
    <xf numFmtId="0" fontId="5" fillId="2" borderId="8" xfId="0" applyFont="1" applyFill="1" applyBorder="1" applyProtection="1"/>
    <xf numFmtId="0" fontId="6" fillId="2" borderId="8" xfId="0" applyFont="1" applyFill="1" applyBorder="1" applyAlignment="1" applyProtection="1">
      <alignment horizontal="center"/>
    </xf>
    <xf numFmtId="0" fontId="6" fillId="2" borderId="0" xfId="0" applyFont="1" applyFill="1" applyBorder="1" applyAlignment="1" applyProtection="1">
      <alignment horizontal="center"/>
    </xf>
    <xf numFmtId="166" fontId="6" fillId="2" borderId="0" xfId="2" applyNumberFormat="1" applyFont="1" applyFill="1" applyBorder="1" applyProtection="1"/>
    <xf numFmtId="0" fontId="6" fillId="2" borderId="0" xfId="0" applyFont="1" applyFill="1" applyBorder="1" applyAlignment="1" applyProtection="1">
      <alignment horizontal="center" wrapText="1"/>
    </xf>
    <xf numFmtId="0" fontId="5" fillId="3" borderId="0" xfId="0" applyFont="1" applyFill="1" applyBorder="1" applyProtection="1"/>
    <xf numFmtId="165" fontId="5" fillId="3" borderId="0" xfId="0" applyNumberFormat="1" applyFont="1" applyFill="1" applyBorder="1" applyProtection="1"/>
    <xf numFmtId="165" fontId="5" fillId="3" borderId="14" xfId="0" applyNumberFormat="1" applyFont="1" applyFill="1" applyBorder="1" applyProtection="1">
      <protection locked="0"/>
    </xf>
    <xf numFmtId="0" fontId="3" fillId="0" borderId="0" xfId="207"/>
    <xf numFmtId="165" fontId="5" fillId="2" borderId="4" xfId="1" applyNumberFormat="1" applyFont="1" applyFill="1" applyBorder="1" applyProtection="1">
      <protection locked="0"/>
    </xf>
    <xf numFmtId="166" fontId="5" fillId="2" borderId="4" xfId="2" applyNumberFormat="1" applyFont="1" applyFill="1" applyBorder="1" applyAlignment="1" applyProtection="1">
      <alignment horizontal="center"/>
      <protection locked="0"/>
    </xf>
    <xf numFmtId="44" fontId="5" fillId="2" borderId="4" xfId="1" applyFont="1" applyFill="1" applyBorder="1" applyProtection="1">
      <protection locked="0"/>
    </xf>
    <xf numFmtId="10" fontId="5" fillId="2" borderId="4" xfId="2" applyNumberFormat="1" applyFont="1" applyFill="1" applyBorder="1" applyProtection="1">
      <protection locked="0"/>
    </xf>
    <xf numFmtId="0" fontId="5" fillId="2" borderId="4" xfId="0" applyFont="1" applyFill="1" applyBorder="1" applyAlignment="1" applyProtection="1">
      <alignment vertical="center"/>
      <protection locked="0"/>
    </xf>
    <xf numFmtId="10" fontId="5" fillId="2" borderId="4" xfId="2" applyNumberFormat="1" applyFont="1" applyFill="1" applyBorder="1" applyAlignment="1" applyProtection="1">
      <alignment vertical="center"/>
      <protection locked="0"/>
    </xf>
    <xf numFmtId="0" fontId="5" fillId="2" borderId="7" xfId="0" applyFont="1" applyFill="1" applyBorder="1" applyProtection="1">
      <protection locked="0"/>
    </xf>
    <xf numFmtId="0" fontId="5" fillId="2" borderId="10" xfId="0" applyFont="1" applyFill="1" applyBorder="1" applyProtection="1">
      <protection locked="0"/>
    </xf>
    <xf numFmtId="0" fontId="5" fillId="2" borderId="12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2" borderId="0" xfId="0" applyFont="1" applyFill="1" applyProtection="1">
      <protection locked="0"/>
    </xf>
    <xf numFmtId="0" fontId="5" fillId="2" borderId="7" xfId="0" applyFont="1" applyFill="1" applyBorder="1" applyProtection="1"/>
    <xf numFmtId="0" fontId="8" fillId="2" borderId="0" xfId="0" applyFont="1" applyFill="1" applyBorder="1" applyProtection="1"/>
    <xf numFmtId="165" fontId="5" fillId="2" borderId="15" xfId="1" applyNumberFormat="1" applyFont="1" applyFill="1" applyBorder="1" applyProtection="1"/>
    <xf numFmtId="165" fontId="5" fillId="3" borderId="15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protection locked="0"/>
    </xf>
    <xf numFmtId="0" fontId="6" fillId="2" borderId="4" xfId="0" applyFont="1" applyFill="1" applyBorder="1" applyAlignment="1" applyProtection="1">
      <alignment horizontal="center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5" fillId="2" borderId="2" xfId="0" applyFont="1" applyFill="1" applyBorder="1" applyAlignment="1" applyProtection="1">
      <alignment vertical="center"/>
      <protection locked="0"/>
    </xf>
    <xf numFmtId="0" fontId="5" fillId="2" borderId="6" xfId="0" applyFont="1" applyFill="1" applyBorder="1" applyAlignment="1" applyProtection="1">
      <alignment vertical="center"/>
      <protection locked="0"/>
    </xf>
    <xf numFmtId="10" fontId="5" fillId="2" borderId="0" xfId="2" applyNumberFormat="1" applyFont="1" applyFill="1" applyBorder="1" applyProtection="1">
      <protection locked="0"/>
    </xf>
    <xf numFmtId="6" fontId="6" fillId="2" borderId="0" xfId="0" applyNumberFormat="1" applyFont="1" applyFill="1" applyProtection="1">
      <protection locked="0"/>
    </xf>
    <xf numFmtId="44" fontId="0" fillId="0" borderId="0" xfId="0" applyNumberFormat="1"/>
    <xf numFmtId="9" fontId="6" fillId="2" borderId="0" xfId="0" applyNumberFormat="1" applyFont="1" applyFill="1" applyProtection="1">
      <protection locked="0"/>
    </xf>
    <xf numFmtId="165" fontId="5" fillId="0" borderId="16" xfId="1" applyNumberFormat="1" applyFont="1" applyFill="1" applyBorder="1" applyProtection="1">
      <protection locked="0"/>
    </xf>
    <xf numFmtId="0" fontId="10" fillId="2" borderId="0" xfId="0" applyNumberFormat="1" applyFont="1" applyFill="1" applyBorder="1" applyProtection="1"/>
    <xf numFmtId="0" fontId="11" fillId="2" borderId="0" xfId="0" applyFont="1" applyFill="1" applyProtection="1"/>
    <xf numFmtId="0" fontId="12" fillId="2" borderId="0" xfId="0" applyFont="1" applyFill="1" applyProtection="1"/>
    <xf numFmtId="0" fontId="10" fillId="2" borderId="8" xfId="1" applyNumberFormat="1" applyFont="1" applyFill="1" applyBorder="1" applyProtection="1"/>
    <xf numFmtId="0" fontId="10" fillId="2" borderId="0" xfId="1" quotePrefix="1" applyNumberFormat="1" applyFont="1" applyFill="1" applyBorder="1" applyProtection="1"/>
    <xf numFmtId="0" fontId="10" fillId="2" borderId="0" xfId="0" applyFont="1" applyFill="1" applyBorder="1" applyProtection="1"/>
    <xf numFmtId="0" fontId="10" fillId="2" borderId="13" xfId="0" applyFont="1" applyFill="1" applyBorder="1" applyProtection="1"/>
    <xf numFmtId="165" fontId="5" fillId="2" borderId="10" xfId="1" applyNumberFormat="1" applyFont="1" applyFill="1" applyBorder="1" applyProtection="1"/>
    <xf numFmtId="165" fontId="6" fillId="2" borderId="10" xfId="0" applyNumberFormat="1" applyFont="1" applyFill="1" applyBorder="1" applyProtection="1"/>
    <xf numFmtId="165" fontId="5" fillId="3" borderId="7" xfId="1" applyNumberFormat="1" applyFont="1" applyFill="1" applyBorder="1" applyAlignment="1" applyProtection="1">
      <alignment horizontal="center" vertical="center" wrapText="1"/>
      <protection locked="0"/>
    </xf>
    <xf numFmtId="165" fontId="5" fillId="3" borderId="10" xfId="1" applyNumberFormat="1" applyFont="1" applyFill="1" applyBorder="1" applyAlignment="1" applyProtection="1">
      <alignment horizontal="center" vertical="center" wrapText="1"/>
      <protection locked="0"/>
    </xf>
    <xf numFmtId="165" fontId="5" fillId="2" borderId="23" xfId="1" applyNumberFormat="1" applyFont="1" applyFill="1" applyBorder="1" applyProtection="1"/>
    <xf numFmtId="165" fontId="5" fillId="3" borderId="10" xfId="1" applyNumberFormat="1" applyFont="1" applyFill="1" applyBorder="1" applyProtection="1">
      <protection locked="0"/>
    </xf>
    <xf numFmtId="165" fontId="5" fillId="0" borderId="10" xfId="1" applyNumberFormat="1" applyFont="1" applyFill="1" applyBorder="1" applyProtection="1">
      <protection locked="0"/>
    </xf>
    <xf numFmtId="165" fontId="5" fillId="3" borderId="7" xfId="1" applyNumberFormat="1" applyFont="1" applyFill="1" applyBorder="1" applyProtection="1">
      <protection locked="0"/>
    </xf>
    <xf numFmtId="166" fontId="5" fillId="3" borderId="12" xfId="2" applyNumberFormat="1" applyFont="1" applyFill="1" applyBorder="1" applyProtection="1">
      <protection locked="0"/>
    </xf>
    <xf numFmtId="165" fontId="10" fillId="2" borderId="15" xfId="0" applyNumberFormat="1" applyFont="1" applyFill="1" applyBorder="1" applyProtection="1"/>
    <xf numFmtId="165" fontId="10" fillId="2" borderId="16" xfId="0" applyNumberFormat="1" applyFont="1" applyFill="1" applyBorder="1" applyProtection="1"/>
    <xf numFmtId="165" fontId="10" fillId="2" borderId="16" xfId="1" applyNumberFormat="1" applyFont="1" applyFill="1" applyBorder="1" applyProtection="1"/>
    <xf numFmtId="0" fontId="10" fillId="2" borderId="16" xfId="0" applyFont="1" applyFill="1" applyBorder="1" applyProtection="1"/>
    <xf numFmtId="165" fontId="10" fillId="2" borderId="17" xfId="0" applyNumberFormat="1" applyFont="1" applyFill="1" applyBorder="1" applyProtection="1"/>
    <xf numFmtId="0" fontId="7" fillId="3" borderId="13" xfId="0" applyFont="1" applyFill="1" applyBorder="1" applyAlignment="1" applyProtection="1">
      <alignment horizontal="left"/>
      <protection locked="0"/>
    </xf>
    <xf numFmtId="0" fontId="6" fillId="3" borderId="0" xfId="0" applyFont="1" applyFill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center"/>
    </xf>
    <xf numFmtId="0" fontId="6" fillId="3" borderId="0" xfId="0" applyFont="1" applyFill="1" applyAlignment="1" applyProtection="1">
      <alignment horizontal="left"/>
    </xf>
    <xf numFmtId="0" fontId="5" fillId="2" borderId="2" xfId="0" applyFont="1" applyFill="1" applyBorder="1" applyAlignment="1" applyProtection="1">
      <alignment horizontal="left"/>
      <protection locked="0"/>
    </xf>
    <xf numFmtId="0" fontId="5" fillId="2" borderId="5" xfId="0" applyFont="1" applyFill="1" applyBorder="1" applyAlignment="1" applyProtection="1">
      <alignment horizontal="left"/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6" fillId="5" borderId="2" xfId="0" applyFont="1" applyFill="1" applyBorder="1" applyAlignment="1" applyProtection="1">
      <alignment horizontal="center"/>
      <protection locked="0"/>
    </xf>
    <xf numFmtId="0" fontId="6" fillId="5" borderId="5" xfId="0" applyFont="1" applyFill="1" applyBorder="1" applyAlignment="1" applyProtection="1">
      <alignment horizontal="center"/>
      <protection locked="0"/>
    </xf>
    <xf numFmtId="0" fontId="6" fillId="5" borderId="6" xfId="0" applyFont="1" applyFill="1" applyBorder="1" applyAlignment="1" applyProtection="1">
      <alignment horizontal="center"/>
      <protection locked="0"/>
    </xf>
    <xf numFmtId="0" fontId="5" fillId="2" borderId="4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protection locked="0"/>
    </xf>
    <xf numFmtId="0" fontId="5" fillId="2" borderId="5" xfId="0" applyFont="1" applyFill="1" applyBorder="1" applyAlignment="1" applyProtection="1">
      <protection locked="0"/>
    </xf>
    <xf numFmtId="0" fontId="5" fillId="2" borderId="6" xfId="0" applyFont="1" applyFill="1" applyBorder="1" applyAlignment="1" applyProtection="1">
      <protection locked="0"/>
    </xf>
    <xf numFmtId="0" fontId="6" fillId="5" borderId="6" xfId="0" applyFont="1" applyFill="1" applyBorder="1" applyAlignment="1" applyProtection="1">
      <protection locked="0"/>
    </xf>
    <xf numFmtId="0" fontId="6" fillId="2" borderId="20" xfId="0" applyFont="1" applyFill="1" applyBorder="1" applyAlignment="1" applyProtection="1">
      <alignment horizontal="center"/>
      <protection locked="0"/>
    </xf>
    <xf numFmtId="0" fontId="6" fillId="2" borderId="19" xfId="0" applyFont="1" applyFill="1" applyBorder="1" applyAlignment="1" applyProtection="1">
      <alignment horizontal="center"/>
      <protection locked="0"/>
    </xf>
    <xf numFmtId="0" fontId="6" fillId="2" borderId="21" xfId="0" applyFont="1" applyFill="1" applyBorder="1" applyAlignment="1" applyProtection="1">
      <alignment horizontal="center"/>
      <protection locked="0"/>
    </xf>
    <xf numFmtId="0" fontId="6" fillId="2" borderId="22" xfId="0" applyFont="1" applyFill="1" applyBorder="1" applyAlignment="1" applyProtection="1">
      <alignment horizontal="center"/>
      <protection locked="0"/>
    </xf>
  </cellXfs>
  <cellStyles count="208">
    <cellStyle name="Comma" xfId="4" builtinId="3"/>
    <cellStyle name="Currency" xfId="1" builtinId="4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/>
    <cellStyle name="Normal" xfId="0" builtinId="0"/>
    <cellStyle name="Percent" xfId="2" builtinId="5"/>
    <cellStyle name="style_data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1_$100000'!$B$43:$B$47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1_$100000'!$C$43:$C$47</c:f>
              <c:numCache>
                <c:formatCode>_("$"* #,##0_);_("$"* \(#,##0\);_("$"* "-"??_);_(@_)</c:formatCode>
                <c:ptCount val="5"/>
                <c:pt idx="0">
                  <c:v>1442</c:v>
                </c:pt>
                <c:pt idx="1">
                  <c:v>-8351.4</c:v>
                </c:pt>
                <c:pt idx="2">
                  <c:v>-1953.15</c:v>
                </c:pt>
                <c:pt idx="3">
                  <c:v>0</c:v>
                </c:pt>
                <c:pt idx="4">
                  <c:v>-8862.5500000000029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218696"/>
        <c:axId val="213218304"/>
      </c:barChart>
      <c:catAx>
        <c:axId val="213218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18304"/>
        <c:crosses val="autoZero"/>
        <c:auto val="1"/>
        <c:lblAlgn val="ctr"/>
        <c:lblOffset val="100"/>
        <c:noMultiLvlLbl val="0"/>
      </c:catAx>
      <c:valAx>
        <c:axId val="213218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18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1_$200000'!$B$43:$B$47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1_$200000'!$C$43:$C$47</c:f>
              <c:numCache>
                <c:formatCode>_("$"* #,##0_);_("$"* \(#,##0\);_("$"* "-"??_);_(@_)</c:formatCode>
                <c:ptCount val="5"/>
                <c:pt idx="0">
                  <c:v>2037</c:v>
                </c:pt>
                <c:pt idx="1">
                  <c:v>-8494</c:v>
                </c:pt>
                <c:pt idx="2">
                  <c:v>-3906.3</c:v>
                </c:pt>
                <c:pt idx="3">
                  <c:v>0</c:v>
                </c:pt>
                <c:pt idx="4">
                  <c:v>-10363.300000000003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217128"/>
        <c:axId val="213216344"/>
      </c:barChart>
      <c:catAx>
        <c:axId val="213217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16344"/>
        <c:crosses val="autoZero"/>
        <c:auto val="1"/>
        <c:lblAlgn val="ctr"/>
        <c:lblOffset val="100"/>
        <c:noMultiLvlLbl val="0"/>
      </c:catAx>
      <c:valAx>
        <c:axId val="213216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17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1_$400000'!$B$43:$B$47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 increase (decrease) from converting to S corporation</c:v>
                </c:pt>
              </c:strCache>
            </c:strRef>
          </c:cat>
          <c:val>
            <c:numRef>
              <c:f>'Task 1_$400000'!$C$43:$C$47</c:f>
              <c:numCache>
                <c:formatCode>_("$"* #,##0_);_("$"* \(#,##0\);_("$"* "-"??_);_(@_)</c:formatCode>
                <c:ptCount val="5"/>
                <c:pt idx="0">
                  <c:v>1668</c:v>
                </c:pt>
                <c:pt idx="1">
                  <c:v>-2294</c:v>
                </c:pt>
                <c:pt idx="2">
                  <c:v>-7812.6</c:v>
                </c:pt>
                <c:pt idx="3">
                  <c:v>-1799.9999999999998</c:v>
                </c:pt>
                <c:pt idx="4">
                  <c:v>-10238.600000000006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219480"/>
        <c:axId val="318343616"/>
      </c:barChart>
      <c:catAx>
        <c:axId val="21321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3616"/>
        <c:crosses val="autoZero"/>
        <c:auto val="1"/>
        <c:lblAlgn val="ctr"/>
        <c:lblOffset val="100"/>
        <c:noMultiLvlLbl val="0"/>
      </c:catAx>
      <c:valAx>
        <c:axId val="31834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219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'Task 1_$600000'!$B$43:$B$47</c:f>
              <c:strCache>
                <c:ptCount val="5"/>
                <c:pt idx="0">
                  <c:v>Regular income tax increase (decrease) from converting to S corporation</c:v>
                </c:pt>
                <c:pt idx="1">
                  <c:v>Social Security tax increase (decrease) from converting to S corporation</c:v>
                </c:pt>
                <c:pt idx="2">
                  <c:v>Medicare tax increase (decrease) from converting to S corporation</c:v>
                </c:pt>
                <c:pt idx="3">
                  <c:v>Additional Medicare tax increase (decrease) from converting to S corporation</c:v>
                </c:pt>
                <c:pt idx="4">
                  <c:v>Total tax increase (decrease) from converting to S corporation</c:v>
                </c:pt>
              </c:strCache>
            </c:strRef>
          </c:cat>
          <c:val>
            <c:numRef>
              <c:f>'Task 1_$600000'!$C$43:$C$47</c:f>
              <c:numCache>
                <c:formatCode>_("$"* #,##0_);_("$"* \(#,##0\);_("$"* "-"??_);_(@_)</c:formatCode>
                <c:ptCount val="5"/>
                <c:pt idx="0">
                  <c:v>2320</c:v>
                </c:pt>
                <c:pt idx="1">
                  <c:v>0</c:v>
                </c:pt>
                <c:pt idx="2">
                  <c:v>-11718.900000000001</c:v>
                </c:pt>
                <c:pt idx="3">
                  <c:v>-3599.9999999999995</c:v>
                </c:pt>
                <c:pt idx="4">
                  <c:v>-12998.899999999994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18345968"/>
        <c:axId val="318346360"/>
      </c:barChart>
      <c:catAx>
        <c:axId val="31834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6360"/>
        <c:crosses val="autoZero"/>
        <c:auto val="1"/>
        <c:lblAlgn val="ctr"/>
        <c:lblOffset val="100"/>
        <c:noMultiLvlLbl val="0"/>
      </c:catAx>
      <c:valAx>
        <c:axId val="318346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834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065728724208"/>
          <c:y val="3.4620505992010601E-2"/>
          <c:w val="0.65833420076221805"/>
          <c:h val="0.865921134026023"/>
        </c:manualLayout>
      </c:layout>
      <c:areaChart>
        <c:grouping val="stacked"/>
        <c:varyColors val="0"/>
        <c:ser>
          <c:idx val="1"/>
          <c:order val="0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1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50000"/>
                <a:lumOff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4"/>
          <c:spPr>
            <a:solidFill>
              <a:schemeClr val="bg1">
                <a:lumMod val="6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537160"/>
        <c:axId val="319537552"/>
      </c:areaChart>
      <c:catAx>
        <c:axId val="319537160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319537552"/>
        <c:crosses val="autoZero"/>
        <c:auto val="1"/>
        <c:lblAlgn val="ctr"/>
        <c:lblOffset val="80"/>
        <c:tickLblSkip val="5"/>
        <c:tickMarkSkip val="10"/>
        <c:noMultiLvlLbl val="0"/>
      </c:catAx>
      <c:valAx>
        <c:axId val="319537552"/>
        <c:scaling>
          <c:orientation val="minMax"/>
          <c:max val="6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19537160"/>
        <c:crossesAt val="-1"/>
        <c:crossBetween val="midCat"/>
      </c:valAx>
    </c:plotArea>
    <c:legend>
      <c:legendPos val="r"/>
      <c:layout>
        <c:manualLayout>
          <c:xMode val="edge"/>
          <c:yMode val="edge"/>
          <c:x val="0.81133793990036995"/>
          <c:y val="0.24891682481101299"/>
          <c:w val="0.166439980716696"/>
          <c:h val="0.52347085775396596"/>
        </c:manualLayout>
      </c:layout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cked"/>
        <c:varyColors val="0"/>
        <c:ser>
          <c:idx val="0"/>
          <c:order val="0"/>
          <c:spPr>
            <a:solidFill>
              <a:schemeClr val="bg1">
                <a:lumMod val="7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3"/>
          <c:spPr>
            <a:solidFill>
              <a:schemeClr val="bg1">
                <a:lumMod val="50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4"/>
          <c:spPr>
            <a:solidFill>
              <a:schemeClr val="tx1">
                <a:lumMod val="65000"/>
                <a:lumOff val="35000"/>
              </a:schemeClr>
            </a:solidFill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5"/>
          <c:order val="5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538336"/>
        <c:axId val="319538728"/>
      </c:areaChart>
      <c:catAx>
        <c:axId val="319538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953872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19538728"/>
        <c:scaling>
          <c:orientation val="minMax"/>
          <c:max val="200000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19538336"/>
        <c:crosses val="autoZero"/>
        <c:crossBetween val="midCat"/>
      </c:valAx>
    </c:plotArea>
    <c:legend>
      <c:legendPos val="r"/>
      <c:legendEntry>
        <c:idx val="0"/>
        <c:delete val="1"/>
      </c:legendEntry>
      <c:overlay val="0"/>
    </c:legend>
    <c:plotVisOnly val="1"/>
    <c:dispBlanksAs val="zero"/>
    <c:showDLblsOverMax val="0"/>
  </c:chart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5"/>
          <c:order val="0"/>
          <c:spPr>
            <a:noFill/>
            <a:ln w="31750" cmpd="sng">
              <a:solidFill>
                <a:schemeClr val="tx1">
                  <a:lumMod val="95000"/>
                  <a:lumOff val="5000"/>
                </a:schemeClr>
              </a:solidFill>
              <a:prstDash val="lgDash"/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3"/>
          <c:order val="1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spPr>
            <a:solidFill>
              <a:schemeClr val="bg1">
                <a:lumMod val="75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4"/>
          <c:order val="3"/>
          <c:spPr>
            <a:solidFill>
              <a:schemeClr val="tx1">
                <a:lumMod val="65000"/>
                <a:lumOff val="3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4"/>
          <c:spPr>
            <a:solidFill>
              <a:schemeClr val="tx1">
                <a:lumMod val="95000"/>
                <a:lumOff val="5000"/>
              </a:schemeClr>
            </a:solidFill>
            <a:ln>
              <a:solidFill>
                <a:schemeClr val="bg1">
                  <a:lumMod val="75000"/>
                </a:schemeClr>
              </a:solidFill>
            </a:ln>
          </c:spP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9539512"/>
        <c:axId val="319539904"/>
      </c:areaChart>
      <c:catAx>
        <c:axId val="319539512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crossAx val="319539904"/>
        <c:crosses val="autoZero"/>
        <c:auto val="1"/>
        <c:lblAlgn val="ctr"/>
        <c:lblOffset val="100"/>
        <c:tickMarkSkip val="5"/>
        <c:noMultiLvlLbl val="0"/>
      </c:catAx>
      <c:valAx>
        <c:axId val="319539904"/>
        <c:scaling>
          <c:orientation val="minMax"/>
        </c:scaling>
        <c:delete val="0"/>
        <c:axPos val="l"/>
        <c:majorGridlines/>
        <c:numFmt formatCode="&quot;$&quot;#,##0" sourceLinked="0"/>
        <c:majorTickMark val="out"/>
        <c:minorTickMark val="none"/>
        <c:tickLblPos val="nextTo"/>
        <c:crossAx val="319539512"/>
        <c:crosses val="autoZero"/>
        <c:crossBetween val="midCat"/>
      </c:valAx>
      <c:spPr>
        <a:solidFill>
          <a:schemeClr val="bg1">
            <a:lumMod val="95000"/>
          </a:schemeClr>
        </a:solidFill>
      </c:spPr>
    </c:plotArea>
    <c:legend>
      <c:legendPos val="b"/>
      <c:layout>
        <c:manualLayout>
          <c:xMode val="edge"/>
          <c:yMode val="edge"/>
          <c:x val="8.8379702537182803E-2"/>
          <c:y val="0.94912515690973398"/>
          <c:w val="0.84435161854768204"/>
          <c:h val="3.6382089467077501E-2"/>
        </c:manualLayout>
      </c:layout>
      <c:overlay val="0"/>
    </c:legend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9540688"/>
        <c:axId val="320420936"/>
      </c:lineChart>
      <c:catAx>
        <c:axId val="3195406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20420936"/>
        <c:crosses val="autoZero"/>
        <c:auto val="1"/>
        <c:lblAlgn val="ctr"/>
        <c:lblOffset val="100"/>
        <c:tickLblSkip val="20"/>
        <c:tickMarkSkip val="5"/>
        <c:noMultiLvlLbl val="0"/>
      </c:catAx>
      <c:valAx>
        <c:axId val="320420936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319540688"/>
        <c:crosses val="autoZero"/>
        <c:crossBetween val="between"/>
      </c:valAx>
      <c:spPr>
        <a:solidFill>
          <a:schemeClr val="bg1">
            <a:lumMod val="95000"/>
          </a:schemeClr>
        </a:solidFill>
      </c:spPr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702469</xdr:colOff>
      <xdr:row>53</xdr:row>
      <xdr:rowOff>15476</xdr:rowOff>
    </xdr:from>
    <xdr:to>
      <xdr:col>6</xdr:col>
      <xdr:colOff>988218</xdr:colOff>
      <xdr:row>71</xdr:row>
      <xdr:rowOff>71437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750093</xdr:colOff>
      <xdr:row>51</xdr:row>
      <xdr:rowOff>146445</xdr:rowOff>
    </xdr:from>
    <xdr:to>
      <xdr:col>7</xdr:col>
      <xdr:colOff>11905</xdr:colOff>
      <xdr:row>72</xdr:row>
      <xdr:rowOff>166687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714374</xdr:colOff>
      <xdr:row>51</xdr:row>
      <xdr:rowOff>75009</xdr:rowOff>
    </xdr:from>
    <xdr:to>
      <xdr:col>6</xdr:col>
      <xdr:colOff>988217</xdr:colOff>
      <xdr:row>73</xdr:row>
      <xdr:rowOff>59531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726280</xdr:colOff>
      <xdr:row>51</xdr:row>
      <xdr:rowOff>158352</xdr:rowOff>
    </xdr:from>
    <xdr:to>
      <xdr:col>6</xdr:col>
      <xdr:colOff>988217</xdr:colOff>
      <xdr:row>77</xdr:row>
      <xdr:rowOff>154781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292100</xdr:colOff>
      <xdr:row>17</xdr:row>
      <xdr:rowOff>76200</xdr:rowOff>
    </xdr:from>
    <xdr:to>
      <xdr:col>17</xdr:col>
      <xdr:colOff>520700</xdr:colOff>
      <xdr:row>46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571500</xdr:colOff>
      <xdr:row>57</xdr:row>
      <xdr:rowOff>114300</xdr:rowOff>
    </xdr:from>
    <xdr:to>
      <xdr:col>17</xdr:col>
      <xdr:colOff>177800</xdr:colOff>
      <xdr:row>95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62</xdr:row>
      <xdr:rowOff>152400</xdr:rowOff>
    </xdr:from>
    <xdr:to>
      <xdr:col>13</xdr:col>
      <xdr:colOff>0</xdr:colOff>
      <xdr:row>105</xdr:row>
      <xdr:rowOff>63500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355600</xdr:colOff>
      <xdr:row>62</xdr:row>
      <xdr:rowOff>114300</xdr:rowOff>
    </xdr:from>
    <xdr:to>
      <xdr:col>19</xdr:col>
      <xdr:colOff>520700</xdr:colOff>
      <xdr:row>94</xdr:row>
      <xdr:rowOff>76200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G1" sqref="G1"/>
    </sheetView>
  </sheetViews>
  <sheetFormatPr defaultColWidth="8.7109375" defaultRowHeight="12.75" x14ac:dyDescent="0.2"/>
  <sheetData>
    <row r="1" spans="1:6" s="19" customFormat="1" ht="16.5" thickBot="1" x14ac:dyDescent="0.3">
      <c r="A1" s="19" t="s">
        <v>33</v>
      </c>
      <c r="B1" s="103" t="s">
        <v>55</v>
      </c>
      <c r="C1" s="103"/>
      <c r="D1" s="103"/>
      <c r="E1" s="103"/>
      <c r="F1" s="103"/>
    </row>
    <row r="2" spans="1:6" s="19" customFormat="1" ht="16.5" thickBot="1" x14ac:dyDescent="0.3">
      <c r="A2" s="19" t="s">
        <v>34</v>
      </c>
      <c r="B2" s="103"/>
      <c r="C2" s="103"/>
      <c r="D2" s="103"/>
      <c r="E2" s="103"/>
      <c r="F2" s="103"/>
    </row>
    <row r="3" spans="1:6" s="19" customFormat="1" ht="16.5" thickBot="1" x14ac:dyDescent="0.3">
      <c r="A3" s="19" t="s">
        <v>35</v>
      </c>
      <c r="B3" s="103"/>
      <c r="C3" s="103"/>
      <c r="D3" s="103"/>
      <c r="E3" s="103"/>
      <c r="F3" s="103"/>
    </row>
  </sheetData>
  <mergeCells count="3">
    <mergeCell ref="B1:F1"/>
    <mergeCell ref="B2:F2"/>
    <mergeCell ref="B3:F3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zoomScaleNormal="100" zoomScalePageLayoutView="80"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3.8554687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49</v>
      </c>
      <c r="B1" s="104"/>
      <c r="C1" s="78">
        <v>100000</v>
      </c>
    </row>
    <row r="2" spans="1:8" s="67" customFormat="1" x14ac:dyDescent="0.25">
      <c r="B2" s="67" t="s">
        <v>67</v>
      </c>
      <c r="C2" s="80">
        <v>0.25</v>
      </c>
    </row>
    <row r="3" spans="1:8" s="67" customFormat="1" x14ac:dyDescent="0.25">
      <c r="C3" s="32" t="s">
        <v>68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69</v>
      </c>
      <c r="C5" s="16">
        <f>C1</f>
        <v>100000</v>
      </c>
      <c r="D5" s="82" t="str">
        <f>IF(C5=C1,"", "please review")</f>
        <v/>
      </c>
    </row>
    <row r="6" spans="1:8" x14ac:dyDescent="0.25">
      <c r="B6" s="27" t="s">
        <v>99</v>
      </c>
      <c r="C6" s="8">
        <f>C5*'2016 Tax Rates_Thresholds'!D14</f>
        <v>92350</v>
      </c>
      <c r="D6" s="82" t="str">
        <f>IF(C6=C5*'2016 Tax Rates_Thresholds'!D14,"", "please review")</f>
        <v/>
      </c>
    </row>
    <row r="7" spans="1:8" x14ac:dyDescent="0.25">
      <c r="B7" s="27" t="s">
        <v>70</v>
      </c>
      <c r="C7" s="8">
        <f>MIN(C6*'2016 Tax Rates_Thresholds'!D15,'2016 Tax Rates_Thresholds'!D13*'2016 Tax Rates_Thresholds'!D15)</f>
        <v>11451.4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71</v>
      </c>
      <c r="C8" s="8">
        <f>C6*'2016 Tax Rates_Thresholds'!D16</f>
        <v>2678.15</v>
      </c>
      <c r="D8" s="82" t="str">
        <f>IF(C8=C6*'2016 Tax Rates_Thresholds'!D16,"", "please review")</f>
        <v/>
      </c>
    </row>
    <row r="9" spans="1:8" ht="16.5" thickBot="1" x14ac:dyDescent="0.3">
      <c r="B9" s="30" t="s">
        <v>72</v>
      </c>
      <c r="C9" s="17">
        <f>(C7+C8)/2</f>
        <v>7064.7749999999996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97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73</v>
      </c>
      <c r="C12" s="16">
        <f>C1</f>
        <v>100000</v>
      </c>
      <c r="D12" s="82" t="str">
        <f>IF(C12=C1,"", "please review")</f>
        <v/>
      </c>
    </row>
    <row r="13" spans="1:8" x14ac:dyDescent="0.25">
      <c r="B13" s="29" t="s">
        <v>74</v>
      </c>
      <c r="C13" s="8">
        <f>C12*C2</f>
        <v>25000</v>
      </c>
      <c r="D13" s="82" t="str">
        <f>IF(C13=C12*C2,"", "please review")</f>
        <v/>
      </c>
    </row>
    <row r="14" spans="1:8" x14ac:dyDescent="0.25">
      <c r="B14" s="29" t="s">
        <v>75</v>
      </c>
      <c r="C14" s="8">
        <f>MIN(C13*'2016 Tax Rates_Thresholds'!D15/2,'2016 Tax Rates_Thresholds'!D13*'2016 Tax Rates_Thresholds'!D15/2)</f>
        <v>1550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76</v>
      </c>
      <c r="C15" s="18">
        <f>C13*'2016 Tax Rates_Thresholds'!D16/2</f>
        <v>362.5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77</v>
      </c>
      <c r="C16" s="17">
        <f>C12-C13-C14-C15</f>
        <v>73087.5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68</v>
      </c>
      <c r="E18" s="25"/>
      <c r="F18" s="32" t="s">
        <v>97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80</v>
      </c>
      <c r="C20" s="48"/>
      <c r="D20" s="70"/>
      <c r="E20" s="85"/>
      <c r="F20" s="71">
        <f>C13</f>
        <v>25000</v>
      </c>
      <c r="G20" s="98" t="str">
        <f>IF(F20=C13,"", "please review")</f>
        <v/>
      </c>
    </row>
    <row r="21" spans="2:7" x14ac:dyDescent="0.25">
      <c r="B21" s="27" t="s">
        <v>81</v>
      </c>
      <c r="C21" s="38"/>
      <c r="D21" s="8">
        <f>C5</f>
        <v>100000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82</v>
      </c>
      <c r="C22" s="38"/>
      <c r="D22" s="40"/>
      <c r="E22" s="86"/>
      <c r="F22" s="9">
        <f>C16</f>
        <v>73087.5</v>
      </c>
      <c r="G22" s="99" t="str">
        <f>IF(F22=C16,"", "please review")</f>
        <v/>
      </c>
    </row>
    <row r="23" spans="2:7" x14ac:dyDescent="0.25">
      <c r="B23" s="27" t="s">
        <v>78</v>
      </c>
      <c r="C23" s="38"/>
      <c r="D23" s="18">
        <f>C9</f>
        <v>7064.7749999999996</v>
      </c>
      <c r="E23" s="82" t="str">
        <f>IF(D23=C9,"", "please review")</f>
        <v/>
      </c>
      <c r="F23" s="41"/>
      <c r="G23" s="100"/>
    </row>
    <row r="24" spans="2:7" x14ac:dyDescent="0.25">
      <c r="B24" s="27" t="s">
        <v>79</v>
      </c>
      <c r="C24" s="38"/>
      <c r="D24" s="8">
        <f>D21-D23</f>
        <v>92935.225000000006</v>
      </c>
      <c r="E24" s="82" t="str">
        <f>IF(D24=D21-D23,"", "please review")</f>
        <v/>
      </c>
      <c r="F24" s="8">
        <f>F20+F22</f>
        <v>98087.5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117</v>
      </c>
      <c r="C26" s="38"/>
      <c r="D26" s="8">
        <f>ROUND((D24-VLOOKUP(D24,'2016 Tax Rates_Thresholds'!A4:D10,1))*VLOOKUP(D24,'2016 Tax Rates_Thresholds'!A4:D10,4)+VLOOKUP(D24,'2016 Tax Rates_Thresholds'!A4:D10,3),0)</f>
        <v>19059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20501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75</v>
      </c>
      <c r="C28" s="38"/>
      <c r="D28" s="29"/>
      <c r="E28" s="82"/>
      <c r="F28" s="8">
        <f>C14</f>
        <v>1550</v>
      </c>
      <c r="G28" s="99" t="str">
        <f>IF(F28=C14,"", "please review")</f>
        <v/>
      </c>
    </row>
    <row r="29" spans="2:7" x14ac:dyDescent="0.25">
      <c r="B29" s="27" t="s">
        <v>76</v>
      </c>
      <c r="C29" s="38"/>
      <c r="D29" s="29"/>
      <c r="E29" s="82"/>
      <c r="F29" s="8">
        <f>C15</f>
        <v>362.5</v>
      </c>
      <c r="G29" s="99" t="str">
        <f>IF(F29=C15,"", "please review")</f>
        <v/>
      </c>
    </row>
    <row r="30" spans="2:7" x14ac:dyDescent="0.25">
      <c r="B30" s="27" t="s">
        <v>83</v>
      </c>
      <c r="C30" s="38"/>
      <c r="D30" s="28"/>
      <c r="E30" s="82"/>
      <c r="F30" s="8">
        <f>F28</f>
        <v>1550</v>
      </c>
      <c r="G30" s="99" t="str">
        <f>IF(F30=F28,"", "please review")</f>
        <v/>
      </c>
    </row>
    <row r="31" spans="2:7" x14ac:dyDescent="0.25">
      <c r="B31" s="27" t="s">
        <v>84</v>
      </c>
      <c r="C31" s="38"/>
      <c r="D31" s="28"/>
      <c r="E31" s="82"/>
      <c r="F31" s="8">
        <f>F29</f>
        <v>362.5</v>
      </c>
      <c r="G31" s="99" t="str">
        <f>IF(F31=F29,"","please review")</f>
        <v/>
      </c>
    </row>
    <row r="32" spans="2:7" x14ac:dyDescent="0.25">
      <c r="B32" s="27" t="s">
        <v>85</v>
      </c>
      <c r="C32" s="38"/>
      <c r="D32" s="8">
        <f>C7</f>
        <v>11451.4</v>
      </c>
      <c r="E32" s="82" t="str">
        <f>IF(D32=C7,"", "please review")</f>
        <v/>
      </c>
      <c r="F32" s="28"/>
      <c r="G32" s="101"/>
    </row>
    <row r="33" spans="1:8" x14ac:dyDescent="0.25">
      <c r="B33" s="27" t="s">
        <v>86</v>
      </c>
      <c r="C33" s="38"/>
      <c r="D33" s="8">
        <f>C8</f>
        <v>2678.15</v>
      </c>
      <c r="E33" s="82" t="str">
        <f>IF(D33=C8,"", "please review")</f>
        <v/>
      </c>
      <c r="F33" s="28"/>
      <c r="G33" s="101"/>
    </row>
    <row r="34" spans="1:8" x14ac:dyDescent="0.25">
      <c r="B34" s="27" t="s">
        <v>87</v>
      </c>
      <c r="C34" s="38"/>
      <c r="D34" s="8">
        <f>MAX(0,(C5-'2016 Tax Rates_Thresholds'!D21)*'2016 Tax Rates_Thresholds'!D23)</f>
        <v>0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88</v>
      </c>
      <c r="C36" s="42"/>
      <c r="D36" s="8">
        <f>SUM(D32:D34)</f>
        <v>14129.55</v>
      </c>
      <c r="E36" s="82" t="str">
        <f>IF(D36=SUM(D32:D34),"", "please review")</f>
        <v/>
      </c>
      <c r="F36" s="8">
        <f>SUM(F28:F34)</f>
        <v>3825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89</v>
      </c>
      <c r="C38" s="48"/>
      <c r="D38" s="16">
        <f>D36+D26</f>
        <v>33188.550000000003</v>
      </c>
      <c r="E38" s="82" t="str">
        <f>IF(D38=D36+D26,"", "please review")</f>
        <v/>
      </c>
      <c r="F38" s="16">
        <f>F36+F26</f>
        <v>24326</v>
      </c>
      <c r="G38" s="99" t="str">
        <f>IF(F38=F36+F26,"", "please review")</f>
        <v/>
      </c>
    </row>
    <row r="39" spans="1:8" x14ac:dyDescent="0.25">
      <c r="B39" s="27" t="s">
        <v>90</v>
      </c>
      <c r="C39" s="38"/>
      <c r="D39" s="45"/>
      <c r="E39" s="87"/>
      <c r="F39" s="8">
        <f>D38-F38</f>
        <v>8862.5500000000029</v>
      </c>
      <c r="G39" s="99" t="str">
        <f>IF(F39=D38-F38,"", "please review")</f>
        <v/>
      </c>
    </row>
    <row r="40" spans="1:8" ht="16.5" thickBot="1" x14ac:dyDescent="0.3">
      <c r="B40" s="30" t="s">
        <v>91</v>
      </c>
      <c r="C40" s="46"/>
      <c r="D40" s="47"/>
      <c r="E40" s="88"/>
      <c r="F40" s="10">
        <f>F39/C1</f>
        <v>8.8625500000000024E-2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32</v>
      </c>
      <c r="C42" s="38"/>
      <c r="D42" s="38"/>
      <c r="E42" s="38"/>
      <c r="F42" s="50"/>
      <c r="G42" s="50"/>
      <c r="H42" s="52"/>
    </row>
    <row r="43" spans="1:8" x14ac:dyDescent="0.25">
      <c r="B43" s="63" t="s">
        <v>92</v>
      </c>
      <c r="C43" s="11">
        <f>F26-D26</f>
        <v>1442</v>
      </c>
      <c r="D43" s="82" t="str">
        <f>IF(C43=F26-D26,"", "please review")</f>
        <v/>
      </c>
      <c r="E43" s="39"/>
    </row>
    <row r="44" spans="1:8" x14ac:dyDescent="0.25">
      <c r="B44" s="64" t="s">
        <v>94</v>
      </c>
      <c r="C44" s="7">
        <f>F28+F30-D32</f>
        <v>-8351.4</v>
      </c>
      <c r="D44" s="82" t="str">
        <f>IF(C44=F28+F30-D32,"", "please review")</f>
        <v/>
      </c>
      <c r="E44" s="39"/>
    </row>
    <row r="45" spans="1:8" x14ac:dyDescent="0.25">
      <c r="B45" s="64" t="s">
        <v>111</v>
      </c>
      <c r="C45" s="7">
        <f>F29+F31-D33</f>
        <v>-1953.15</v>
      </c>
      <c r="D45" s="82" t="str">
        <f>IF(C45=F29+F31-D33,"", "please review")</f>
        <v/>
      </c>
      <c r="E45" s="39"/>
    </row>
    <row r="46" spans="1:8" x14ac:dyDescent="0.25">
      <c r="B46" s="64" t="s">
        <v>95</v>
      </c>
      <c r="C46" s="7">
        <f>F34-D34</f>
        <v>0</v>
      </c>
      <c r="D46" s="82" t="str">
        <f>IF(C46=F34-D34,"","please review")</f>
        <v/>
      </c>
      <c r="E46" s="39"/>
    </row>
    <row r="47" spans="1:8" ht="16.5" thickBot="1" x14ac:dyDescent="0.3">
      <c r="B47" s="65" t="s">
        <v>93</v>
      </c>
      <c r="C47" s="55">
        <f>F38-D38</f>
        <v>-8862.5500000000029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101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zoomScale="115" zoomScaleNormal="115" zoomScalePageLayoutView="80"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4.570312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49</v>
      </c>
      <c r="B1" s="104"/>
      <c r="C1" s="78">
        <v>200000</v>
      </c>
    </row>
    <row r="2" spans="1:8" s="67" customFormat="1" x14ac:dyDescent="0.25">
      <c r="B2" s="67" t="s">
        <v>67</v>
      </c>
      <c r="C2" s="80">
        <v>0.25</v>
      </c>
    </row>
    <row r="3" spans="1:8" s="67" customFormat="1" x14ac:dyDescent="0.25">
      <c r="C3" s="32" t="s">
        <v>68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69</v>
      </c>
      <c r="C5" s="16">
        <f>C1</f>
        <v>200000</v>
      </c>
      <c r="D5" s="82" t="str">
        <f>IF(C5=C1,"", "please review")</f>
        <v/>
      </c>
    </row>
    <row r="6" spans="1:8" x14ac:dyDescent="0.25">
      <c r="B6" s="27" t="s">
        <v>99</v>
      </c>
      <c r="C6" s="8">
        <f>C5*'2016 Tax Rates_Thresholds'!D14</f>
        <v>184700</v>
      </c>
      <c r="D6" s="82" t="str">
        <f>IF(C6=C5*'2016 Tax Rates_Thresholds'!D14,"", "please review")</f>
        <v/>
      </c>
    </row>
    <row r="7" spans="1:8" x14ac:dyDescent="0.25">
      <c r="B7" s="27" t="s">
        <v>96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71</v>
      </c>
      <c r="C8" s="8">
        <f>C6*'2016 Tax Rates_Thresholds'!D16</f>
        <v>5356.3</v>
      </c>
      <c r="D8" s="82" t="str">
        <f>IF(C8=C6*'2016 Tax Rates_Thresholds'!D16,"", "please review")</f>
        <v/>
      </c>
    </row>
    <row r="9" spans="1:8" ht="16.5" thickBot="1" x14ac:dyDescent="0.3">
      <c r="B9" s="30" t="s">
        <v>72</v>
      </c>
      <c r="C9" s="17">
        <f>(C7+C8)/2</f>
        <v>10025.15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97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73</v>
      </c>
      <c r="C12" s="16">
        <f>C1</f>
        <v>200000</v>
      </c>
      <c r="D12" s="82" t="str">
        <f>IF(C12=C1,"", "please review")</f>
        <v/>
      </c>
    </row>
    <row r="13" spans="1:8" x14ac:dyDescent="0.25">
      <c r="B13" s="29" t="s">
        <v>74</v>
      </c>
      <c r="C13" s="8">
        <f>C12*C2</f>
        <v>50000</v>
      </c>
      <c r="D13" s="82" t="str">
        <f>IF(C13=C12*C2,"", "please review")</f>
        <v/>
      </c>
    </row>
    <row r="14" spans="1:8" x14ac:dyDescent="0.25">
      <c r="B14" s="29" t="s">
        <v>98</v>
      </c>
      <c r="C14" s="8">
        <f>MIN(C13*'2016 Tax Rates_Thresholds'!D15/2,'2016 Tax Rates_Thresholds'!D13*'2016 Tax Rates_Thresholds'!D15/2)</f>
        <v>3100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76</v>
      </c>
      <c r="C15" s="18">
        <f>C13*'2016 Tax Rates_Thresholds'!D16/2</f>
        <v>725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77</v>
      </c>
      <c r="C16" s="17">
        <f>C12-C13-C14-C15</f>
        <v>146175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68</v>
      </c>
      <c r="E18" s="25"/>
      <c r="F18" s="32" t="s">
        <v>97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80</v>
      </c>
      <c r="C20" s="48"/>
      <c r="D20" s="70"/>
      <c r="E20" s="85"/>
      <c r="F20" s="71">
        <f>C13</f>
        <v>50000</v>
      </c>
      <c r="G20" s="98" t="str">
        <f>IF(F20=C13,"", "please review")</f>
        <v/>
      </c>
    </row>
    <row r="21" spans="2:7" x14ac:dyDescent="0.25">
      <c r="B21" s="27" t="s">
        <v>81</v>
      </c>
      <c r="C21" s="38"/>
      <c r="D21" s="8">
        <f>C5</f>
        <v>200000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82</v>
      </c>
      <c r="C22" s="38"/>
      <c r="D22" s="40"/>
      <c r="E22" s="86"/>
      <c r="F22" s="9">
        <f>C16</f>
        <v>146175</v>
      </c>
      <c r="G22" s="99" t="str">
        <f>IF(F22=C16,"", "please review")</f>
        <v/>
      </c>
    </row>
    <row r="23" spans="2:7" x14ac:dyDescent="0.25">
      <c r="B23" s="27" t="s">
        <v>78</v>
      </c>
      <c r="C23" s="38"/>
      <c r="D23" s="18">
        <f>C9</f>
        <v>10025.15</v>
      </c>
      <c r="E23" s="82" t="str">
        <f>IF(D23=C9,"", "please review")</f>
        <v/>
      </c>
      <c r="F23" s="41"/>
      <c r="G23" s="100"/>
    </row>
    <row r="24" spans="2:7" x14ac:dyDescent="0.25">
      <c r="B24" s="27" t="s">
        <v>79</v>
      </c>
      <c r="C24" s="38"/>
      <c r="D24" s="8">
        <f>D21-D23</f>
        <v>189974.85</v>
      </c>
      <c r="E24" s="82" t="str">
        <f>IF(D24=D21-D23,"", "please review")</f>
        <v/>
      </c>
      <c r="F24" s="8">
        <f>F20+F22</f>
        <v>196175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116</v>
      </c>
      <c r="C26" s="38"/>
      <c r="D26" s="8">
        <f>ROUND((D24-VLOOKUP(D24,'2016 Tax Rates_Thresholds'!A4:D10,1))*VLOOKUP(D24,'2016 Tax Rates_Thresholds'!A4:D10,4)+VLOOKUP(D24,'2016 Tax Rates_Thresholds'!A4:D10,3),0)</f>
        <v>46230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48267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75</v>
      </c>
      <c r="C28" s="38"/>
      <c r="D28" s="29"/>
      <c r="E28" s="82"/>
      <c r="F28" s="8">
        <f>C14</f>
        <v>3100</v>
      </c>
      <c r="G28" s="99" t="str">
        <f>IF(F28=C14,"", "please review")</f>
        <v/>
      </c>
    </row>
    <row r="29" spans="2:7" x14ac:dyDescent="0.25">
      <c r="B29" s="27" t="s">
        <v>76</v>
      </c>
      <c r="C29" s="38"/>
      <c r="D29" s="29"/>
      <c r="E29" s="82"/>
      <c r="F29" s="8">
        <f>C15</f>
        <v>725</v>
      </c>
      <c r="G29" s="99" t="str">
        <f>IF(F29=C15,"", "please review")</f>
        <v/>
      </c>
    </row>
    <row r="30" spans="2:7" x14ac:dyDescent="0.25">
      <c r="B30" s="27" t="s">
        <v>83</v>
      </c>
      <c r="C30" s="38"/>
      <c r="D30" s="28"/>
      <c r="E30" s="82"/>
      <c r="F30" s="8">
        <f>F28</f>
        <v>3100</v>
      </c>
      <c r="G30" s="99" t="str">
        <f>IF(F30=F28,"", "please review")</f>
        <v/>
      </c>
    </row>
    <row r="31" spans="2:7" x14ac:dyDescent="0.25">
      <c r="B31" s="27" t="s">
        <v>84</v>
      </c>
      <c r="C31" s="38"/>
      <c r="D31" s="28"/>
      <c r="E31" s="82"/>
      <c r="F31" s="8">
        <f>F29</f>
        <v>725</v>
      </c>
      <c r="G31" s="99" t="str">
        <f>IF(F31=F29,"","please review")</f>
        <v/>
      </c>
    </row>
    <row r="32" spans="2:7" x14ac:dyDescent="0.25">
      <c r="B32" s="27" t="s">
        <v>85</v>
      </c>
      <c r="C32" s="38"/>
      <c r="D32" s="8">
        <f>C7</f>
        <v>14694</v>
      </c>
      <c r="E32" s="82" t="str">
        <f>IF(D32=C7,"", "please review")</f>
        <v/>
      </c>
      <c r="F32" s="28"/>
      <c r="G32" s="101"/>
    </row>
    <row r="33" spans="1:8" x14ac:dyDescent="0.25">
      <c r="B33" s="27" t="s">
        <v>86</v>
      </c>
      <c r="C33" s="38"/>
      <c r="D33" s="8">
        <f>C8</f>
        <v>5356.3</v>
      </c>
      <c r="E33" s="82" t="str">
        <f>IF(D33=C8,"", "please review")</f>
        <v/>
      </c>
      <c r="F33" s="28"/>
      <c r="G33" s="101"/>
    </row>
    <row r="34" spans="1:8" x14ac:dyDescent="0.25">
      <c r="B34" s="27" t="s">
        <v>100</v>
      </c>
      <c r="C34" s="38"/>
      <c r="D34" s="8">
        <f>MAX(0,(C5-'2016 Tax Rates_Thresholds'!D21)*'2016 Tax Rates_Thresholds'!D23)</f>
        <v>0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88</v>
      </c>
      <c r="C36" s="42"/>
      <c r="D36" s="8">
        <f>SUM(D32:D34)</f>
        <v>20050.3</v>
      </c>
      <c r="E36" s="82" t="str">
        <f>IF(D36=SUM(D32:D34),"", "please review")</f>
        <v/>
      </c>
      <c r="F36" s="8">
        <f>SUM(F28:F34)</f>
        <v>7650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89</v>
      </c>
      <c r="C38" s="48"/>
      <c r="D38" s="16">
        <f>D36+D26</f>
        <v>66280.3</v>
      </c>
      <c r="E38" s="82" t="str">
        <f>IF(D38=D36+D26,"", "please review")</f>
        <v/>
      </c>
      <c r="F38" s="16">
        <f>F36+F26</f>
        <v>55917</v>
      </c>
      <c r="G38" s="99" t="str">
        <f>IF(F38=F36+F26,"", "please review")</f>
        <v/>
      </c>
    </row>
    <row r="39" spans="1:8" x14ac:dyDescent="0.25">
      <c r="B39" s="27" t="s">
        <v>90</v>
      </c>
      <c r="C39" s="38"/>
      <c r="D39" s="45"/>
      <c r="E39" s="87"/>
      <c r="F39" s="8">
        <f>D38-F38</f>
        <v>10363.300000000003</v>
      </c>
      <c r="G39" s="99" t="str">
        <f>IF(F39=D38-F38,"", "please review")</f>
        <v/>
      </c>
    </row>
    <row r="40" spans="1:8" ht="16.5" thickBot="1" x14ac:dyDescent="0.3">
      <c r="B40" s="30" t="s">
        <v>91</v>
      </c>
      <c r="C40" s="46"/>
      <c r="D40" s="47"/>
      <c r="E40" s="88"/>
      <c r="F40" s="10">
        <f>F39/C1</f>
        <v>5.1816500000000015E-2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32</v>
      </c>
      <c r="C42" s="38"/>
      <c r="D42" s="38"/>
      <c r="E42" s="38"/>
      <c r="F42" s="50"/>
      <c r="G42" s="50"/>
      <c r="H42" s="52"/>
    </row>
    <row r="43" spans="1:8" x14ac:dyDescent="0.25">
      <c r="B43" s="63" t="s">
        <v>92</v>
      </c>
      <c r="C43" s="11">
        <f>F26-D26</f>
        <v>2037</v>
      </c>
      <c r="D43" s="82" t="str">
        <f>IF(C43=F26-D26,"", "please review")</f>
        <v/>
      </c>
      <c r="E43" s="39"/>
    </row>
    <row r="44" spans="1:8" x14ac:dyDescent="0.25">
      <c r="B44" s="64" t="s">
        <v>94</v>
      </c>
      <c r="C44" s="7">
        <f>F28+F30-D32</f>
        <v>-8494</v>
      </c>
      <c r="D44" s="82" t="str">
        <f>IF(C44=F28+F30-D32,"", "please review")</f>
        <v/>
      </c>
      <c r="E44" s="39"/>
    </row>
    <row r="45" spans="1:8" x14ac:dyDescent="0.25">
      <c r="B45" s="64" t="s">
        <v>111</v>
      </c>
      <c r="C45" s="7">
        <f>F29+F31-D33</f>
        <v>-3906.3</v>
      </c>
      <c r="D45" s="82" t="str">
        <f>IF(C45=F29+F31-D33,"", "please review")</f>
        <v/>
      </c>
      <c r="E45" s="39"/>
    </row>
    <row r="46" spans="1:8" x14ac:dyDescent="0.25">
      <c r="B46" s="64" t="s">
        <v>95</v>
      </c>
      <c r="C46" s="7">
        <f>F34-D34</f>
        <v>0</v>
      </c>
      <c r="D46" s="82" t="str">
        <f>IF(C46=F34-D34,"","please review")</f>
        <v/>
      </c>
      <c r="E46" s="39"/>
    </row>
    <row r="47" spans="1:8" ht="16.5" thickBot="1" x14ac:dyDescent="0.3">
      <c r="B47" s="65" t="s">
        <v>93</v>
      </c>
      <c r="C47" s="55">
        <f>F38-D38</f>
        <v>-10363.300000000003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101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zoomScale="80" zoomScaleNormal="80" zoomScalePageLayoutView="80"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4.570312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49</v>
      </c>
      <c r="B1" s="104"/>
      <c r="C1" s="78">
        <v>400000</v>
      </c>
    </row>
    <row r="2" spans="1:8" s="67" customFormat="1" x14ac:dyDescent="0.25">
      <c r="B2" s="67" t="s">
        <v>113</v>
      </c>
      <c r="C2" s="80">
        <v>0.25</v>
      </c>
    </row>
    <row r="3" spans="1:8" s="67" customFormat="1" x14ac:dyDescent="0.25">
      <c r="C3" s="32" t="s">
        <v>68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69</v>
      </c>
      <c r="C5" s="16">
        <f>C1</f>
        <v>400000</v>
      </c>
      <c r="D5" s="82" t="str">
        <f>IF(C5=C1,"", "please review")</f>
        <v/>
      </c>
    </row>
    <row r="6" spans="1:8" x14ac:dyDescent="0.25">
      <c r="B6" s="27" t="s">
        <v>99</v>
      </c>
      <c r="C6" s="8">
        <f>C5*'2016 Tax Rates_Thresholds'!D14</f>
        <v>369400</v>
      </c>
      <c r="D6" s="82" t="str">
        <f>IF(C6=C5*'2016 Tax Rates_Thresholds'!D14,"", "please review")</f>
        <v/>
      </c>
    </row>
    <row r="7" spans="1:8" x14ac:dyDescent="0.25">
      <c r="B7" s="27" t="s">
        <v>96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71</v>
      </c>
      <c r="C8" s="8">
        <f>C6*'2016 Tax Rates_Thresholds'!D16</f>
        <v>10712.6</v>
      </c>
      <c r="D8" s="82" t="str">
        <f>IF(C8=C6*'2016 Tax Rates_Thresholds'!D16,"", "please review")</f>
        <v/>
      </c>
    </row>
    <row r="9" spans="1:8" ht="16.5" thickBot="1" x14ac:dyDescent="0.3">
      <c r="B9" s="30" t="s">
        <v>72</v>
      </c>
      <c r="C9" s="17">
        <f>(C7+C8)/2</f>
        <v>12703.3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97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73</v>
      </c>
      <c r="C12" s="16">
        <f>C1</f>
        <v>400000</v>
      </c>
      <c r="D12" s="82" t="str">
        <f>IF(C12=C1,"", "please review")</f>
        <v/>
      </c>
    </row>
    <row r="13" spans="1:8" x14ac:dyDescent="0.25">
      <c r="B13" s="29" t="s">
        <v>74</v>
      </c>
      <c r="C13" s="8">
        <f>C12*C2</f>
        <v>100000</v>
      </c>
      <c r="D13" s="82" t="str">
        <f>IF(C13=C12*C2,"", "please review")</f>
        <v/>
      </c>
    </row>
    <row r="14" spans="1:8" x14ac:dyDescent="0.25">
      <c r="B14" s="29" t="s">
        <v>75</v>
      </c>
      <c r="C14" s="8">
        <f>MIN(C13*'2016 Tax Rates_Thresholds'!D15/2,'2016 Tax Rates_Thresholds'!D13*'2016 Tax Rates_Thresholds'!D15/2)</f>
        <v>6200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76</v>
      </c>
      <c r="C15" s="18">
        <f>C13*'2016 Tax Rates_Thresholds'!D16/2</f>
        <v>1450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77</v>
      </c>
      <c r="C16" s="17">
        <f>C12-C13-C14-C15</f>
        <v>292350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68</v>
      </c>
      <c r="E18" s="25"/>
      <c r="F18" s="32" t="s">
        <v>97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80</v>
      </c>
      <c r="C20" s="48"/>
      <c r="D20" s="70"/>
      <c r="E20" s="85"/>
      <c r="F20" s="71">
        <f>C13</f>
        <v>100000</v>
      </c>
      <c r="G20" s="98" t="str">
        <f>IF(F20=C13,"", "please review")</f>
        <v/>
      </c>
    </row>
    <row r="21" spans="2:7" x14ac:dyDescent="0.25">
      <c r="B21" s="27" t="s">
        <v>81</v>
      </c>
      <c r="C21" s="38"/>
      <c r="D21" s="8">
        <f>C5</f>
        <v>400000</v>
      </c>
      <c r="E21" s="82" t="str">
        <f>IF(D21=C5,"", "please review")</f>
        <v/>
      </c>
      <c r="F21" s="28"/>
      <c r="G21" s="99"/>
    </row>
    <row r="22" spans="2:7" x14ac:dyDescent="0.25">
      <c r="B22" s="27" t="s">
        <v>82</v>
      </c>
      <c r="C22" s="38"/>
      <c r="D22" s="40"/>
      <c r="E22" s="86"/>
      <c r="F22" s="9">
        <f>C16</f>
        <v>292350</v>
      </c>
      <c r="G22" s="99" t="str">
        <f>IF(F22=C16,"", "please review")</f>
        <v/>
      </c>
    </row>
    <row r="23" spans="2:7" x14ac:dyDescent="0.25">
      <c r="B23" s="27" t="s">
        <v>78</v>
      </c>
      <c r="C23" s="38"/>
      <c r="D23" s="18">
        <f>C9</f>
        <v>12703.3</v>
      </c>
      <c r="E23" s="82" t="str">
        <f>IF(D23=C9,"", "please review")</f>
        <v/>
      </c>
      <c r="F23" s="41"/>
      <c r="G23" s="100"/>
    </row>
    <row r="24" spans="2:7" x14ac:dyDescent="0.25">
      <c r="B24" s="27" t="s">
        <v>0</v>
      </c>
      <c r="C24" s="38"/>
      <c r="D24" s="8">
        <f>D21-D23</f>
        <v>387296.7</v>
      </c>
      <c r="E24" s="82" t="str">
        <f>IF(D24=D21-D23,"", "please review")</f>
        <v/>
      </c>
      <c r="F24" s="8">
        <f>F20+F22</f>
        <v>392350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28"/>
      <c r="G25" s="99"/>
    </row>
    <row r="26" spans="2:7" x14ac:dyDescent="0.25">
      <c r="B26" s="27" t="s">
        <v>117</v>
      </c>
      <c r="C26" s="38"/>
      <c r="D26" s="8">
        <f>ROUND((D24-VLOOKUP(D24,'2016 Tax Rates_Thresholds'!A4:D10,1))*VLOOKUP(D24,'2016 Tax Rates_Thresholds'!A4:D10,4)+VLOOKUP(D24,'2016 Tax Rates_Thresholds'!A4:D10,3),0)</f>
        <v>111337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8">
        <f>ROUND((F24-VLOOKUP(F24,'2016 Tax Rates_Thresholds'!A4:D10,1))*VLOOKUP(F24,'2016 Tax Rates_Thresholds'!A4:D10,4)+VLOOKUP(F24,'2016 Tax Rates_Thresholds'!A4:D10,3),0)</f>
        <v>113005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81"/>
      <c r="G27" s="99"/>
    </row>
    <row r="28" spans="2:7" x14ac:dyDescent="0.25">
      <c r="B28" s="27" t="s">
        <v>75</v>
      </c>
      <c r="C28" s="38"/>
      <c r="D28" s="29"/>
      <c r="E28" s="82"/>
      <c r="F28" s="8">
        <f>C14</f>
        <v>6200</v>
      </c>
      <c r="G28" s="99" t="str">
        <f>IF(F28=C14,"", "please review")</f>
        <v/>
      </c>
    </row>
    <row r="29" spans="2:7" x14ac:dyDescent="0.25">
      <c r="B29" s="27" t="s">
        <v>76</v>
      </c>
      <c r="C29" s="38"/>
      <c r="D29" s="29"/>
      <c r="E29" s="82"/>
      <c r="F29" s="8">
        <f>C15</f>
        <v>1450</v>
      </c>
      <c r="G29" s="99" t="str">
        <f>IF(F29=C15,"", "please review")</f>
        <v/>
      </c>
    </row>
    <row r="30" spans="2:7" x14ac:dyDescent="0.25">
      <c r="B30" s="27" t="s">
        <v>83</v>
      </c>
      <c r="C30" s="38"/>
      <c r="D30" s="28"/>
      <c r="E30" s="82"/>
      <c r="F30" s="8">
        <f>F28</f>
        <v>6200</v>
      </c>
      <c r="G30" s="99" t="str">
        <f>IF(F30=F28,"", "please review")</f>
        <v/>
      </c>
    </row>
    <row r="31" spans="2:7" x14ac:dyDescent="0.25">
      <c r="B31" s="27" t="s">
        <v>84</v>
      </c>
      <c r="C31" s="38"/>
      <c r="D31" s="28"/>
      <c r="E31" s="82"/>
      <c r="F31" s="8">
        <f>F29</f>
        <v>1450</v>
      </c>
      <c r="G31" s="99" t="str">
        <f>IF(F31=F29,"","please review")</f>
        <v/>
      </c>
    </row>
    <row r="32" spans="2:7" x14ac:dyDescent="0.25">
      <c r="B32" s="27" t="s">
        <v>85</v>
      </c>
      <c r="C32" s="38"/>
      <c r="D32" s="8">
        <f>C7</f>
        <v>14694</v>
      </c>
      <c r="E32" s="82" t="str">
        <f>IF(D32=C7,"", "please review")</f>
        <v/>
      </c>
      <c r="F32" s="28"/>
      <c r="G32" s="101"/>
    </row>
    <row r="33" spans="1:8" x14ac:dyDescent="0.25">
      <c r="B33" s="27" t="s">
        <v>86</v>
      </c>
      <c r="C33" s="38"/>
      <c r="D33" s="8">
        <f>C8</f>
        <v>10712.6</v>
      </c>
      <c r="E33" s="82" t="str">
        <f>IF(D33=C8,"", "please review")</f>
        <v/>
      </c>
      <c r="F33" s="28"/>
      <c r="G33" s="101"/>
    </row>
    <row r="34" spans="1:8" x14ac:dyDescent="0.25">
      <c r="B34" s="27" t="s">
        <v>53</v>
      </c>
      <c r="C34" s="38"/>
      <c r="D34" s="8">
        <f>MAX(0,(C5-'2016 Tax Rates_Thresholds'!D21)*'2016 Tax Rates_Thresholds'!D23)</f>
        <v>1799.9999999999998</v>
      </c>
      <c r="E34" s="82" t="str">
        <f>IF(D34=MAX(0,(C5-'2016 Tax Rates_Thresholds'!D21)*'2016 Tax Rates_Thresholds'!D23),"", "please review")</f>
        <v/>
      </c>
      <c r="F34" s="8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28"/>
      <c r="G35" s="101"/>
    </row>
    <row r="36" spans="1:8" x14ac:dyDescent="0.25">
      <c r="B36" s="27" t="s">
        <v>88</v>
      </c>
      <c r="C36" s="42"/>
      <c r="D36" s="8">
        <f>SUM(D32:D34)</f>
        <v>27206.6</v>
      </c>
      <c r="E36" s="82" t="str">
        <f>IF(D36=SUM(D32:D34),"", "please review")</f>
        <v/>
      </c>
      <c r="F36" s="8">
        <f>SUM(F28:F34)</f>
        <v>15300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44"/>
      <c r="G37" s="101"/>
    </row>
    <row r="38" spans="1:8" x14ac:dyDescent="0.25">
      <c r="B38" s="68" t="s">
        <v>89</v>
      </c>
      <c r="C38" s="48"/>
      <c r="D38" s="16">
        <f>D36+D26</f>
        <v>138543.6</v>
      </c>
      <c r="E38" s="82" t="str">
        <f>IF(D38=D36+D26,"", "please review")</f>
        <v/>
      </c>
      <c r="F38" s="16">
        <f>F36+F26</f>
        <v>128305</v>
      </c>
      <c r="G38" s="99" t="str">
        <f>IF(F38=F36+F26,"", "please review")</f>
        <v/>
      </c>
    </row>
    <row r="39" spans="1:8" x14ac:dyDescent="0.25">
      <c r="B39" s="27" t="s">
        <v>90</v>
      </c>
      <c r="C39" s="38"/>
      <c r="D39" s="45"/>
      <c r="E39" s="87"/>
      <c r="F39" s="8">
        <f>D38-F38</f>
        <v>10238.600000000006</v>
      </c>
      <c r="G39" s="99" t="str">
        <f>IF(F39=D38-F38,"", "please review")</f>
        <v/>
      </c>
    </row>
    <row r="40" spans="1:8" ht="16.5" thickBot="1" x14ac:dyDescent="0.3">
      <c r="B40" s="30" t="s">
        <v>91</v>
      </c>
      <c r="C40" s="46"/>
      <c r="D40" s="47"/>
      <c r="E40" s="88"/>
      <c r="F40" s="10">
        <f>F39/C1</f>
        <v>2.5596500000000015E-2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32</v>
      </c>
      <c r="C42" s="38"/>
      <c r="D42" s="38"/>
      <c r="E42" s="38"/>
      <c r="F42" s="50"/>
      <c r="G42" s="50"/>
      <c r="H42" s="52"/>
    </row>
    <row r="43" spans="1:8" x14ac:dyDescent="0.25">
      <c r="B43" s="63" t="s">
        <v>92</v>
      </c>
      <c r="C43" s="11">
        <f>F26-D26</f>
        <v>1668</v>
      </c>
      <c r="D43" s="82" t="str">
        <f>IF(C43=F26-D26,"", "please review")</f>
        <v/>
      </c>
      <c r="E43" s="39"/>
    </row>
    <row r="44" spans="1:8" x14ac:dyDescent="0.25">
      <c r="B44" s="64" t="s">
        <v>94</v>
      </c>
      <c r="C44" s="7">
        <f>F28+F30-D32</f>
        <v>-2294</v>
      </c>
      <c r="D44" s="82" t="str">
        <f>IF(C44=F28+F30-D32,"", "please review")</f>
        <v/>
      </c>
      <c r="E44" s="39"/>
    </row>
    <row r="45" spans="1:8" x14ac:dyDescent="0.25">
      <c r="B45" s="64" t="s">
        <v>111</v>
      </c>
      <c r="C45" s="7">
        <f>F29+F31-D33</f>
        <v>-7812.6</v>
      </c>
      <c r="D45" s="82" t="str">
        <f>IF(C45=F29+F31-D33,"", "please review")</f>
        <v/>
      </c>
      <c r="E45" s="39"/>
    </row>
    <row r="46" spans="1:8" x14ac:dyDescent="0.25">
      <c r="B46" s="64" t="s">
        <v>95</v>
      </c>
      <c r="C46" s="7">
        <f>F34-D34</f>
        <v>-1799.9999999999998</v>
      </c>
      <c r="D46" s="82" t="str">
        <f>IF(C46=F34-D34,"","please review")</f>
        <v/>
      </c>
      <c r="E46" s="39"/>
    </row>
    <row r="47" spans="1:8" ht="16.5" thickBot="1" x14ac:dyDescent="0.3">
      <c r="B47" s="65" t="s">
        <v>112</v>
      </c>
      <c r="C47" s="55">
        <f>F38-D38</f>
        <v>-10238.600000000006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101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48543"/>
  <sheetViews>
    <sheetView zoomScale="80" zoomScaleNormal="80" zoomScalePageLayoutView="80" workbookViewId="0">
      <selection sqref="A1:B1"/>
    </sheetView>
  </sheetViews>
  <sheetFormatPr defaultColWidth="8.7109375" defaultRowHeight="15.75" x14ac:dyDescent="0.25"/>
  <cols>
    <col min="1" max="1" width="11.28515625" style="19" bestFit="1" customWidth="1"/>
    <col min="2" max="2" width="106.7109375" style="19" bestFit="1" customWidth="1"/>
    <col min="3" max="3" width="19.5703125" style="19" bestFit="1" customWidth="1"/>
    <col min="4" max="4" width="20.85546875" style="19" bestFit="1" customWidth="1"/>
    <col min="5" max="5" width="13.5703125" style="19" customWidth="1"/>
    <col min="6" max="6" width="14.5703125" style="19" customWidth="1"/>
    <col min="7" max="7" width="15.140625" style="19" customWidth="1"/>
    <col min="8" max="8" width="17" style="19" customWidth="1"/>
    <col min="9" max="9" width="12.140625" style="19" customWidth="1"/>
    <col min="10" max="10" width="19" style="19" bestFit="1" customWidth="1"/>
    <col min="11" max="11" width="52.28515625" style="19" bestFit="1" customWidth="1"/>
    <col min="12" max="14" width="12" style="19" bestFit="1" customWidth="1"/>
    <col min="15" max="15" width="12.28515625" style="19" customWidth="1"/>
    <col min="16" max="16384" width="8.7109375" style="19"/>
  </cols>
  <sheetData>
    <row r="1" spans="1:8" s="67" customFormat="1" x14ac:dyDescent="0.25">
      <c r="A1" s="104" t="s">
        <v>49</v>
      </c>
      <c r="B1" s="104"/>
      <c r="C1" s="78">
        <v>600000</v>
      </c>
    </row>
    <row r="2" spans="1:8" s="67" customFormat="1" x14ac:dyDescent="0.25">
      <c r="B2" s="67" t="s">
        <v>113</v>
      </c>
      <c r="C2" s="80">
        <v>0.25</v>
      </c>
    </row>
    <row r="3" spans="1:8" s="67" customFormat="1" x14ac:dyDescent="0.25">
      <c r="C3" s="32" t="s">
        <v>68</v>
      </c>
    </row>
    <row r="4" spans="1:8" ht="16.5" thickBot="1" x14ac:dyDescent="0.3">
      <c r="B4" s="31" t="s">
        <v>37</v>
      </c>
      <c r="C4" s="32" t="s">
        <v>31</v>
      </c>
      <c r="D4" s="33"/>
    </row>
    <row r="5" spans="1:8" x14ac:dyDescent="0.25">
      <c r="B5" s="68" t="s">
        <v>69</v>
      </c>
      <c r="C5" s="16">
        <f>C1</f>
        <v>600000</v>
      </c>
      <c r="D5" s="82" t="str">
        <f>IF(C5=C1,"", "please review")</f>
        <v/>
      </c>
    </row>
    <row r="6" spans="1:8" x14ac:dyDescent="0.25">
      <c r="B6" s="27" t="s">
        <v>99</v>
      </c>
      <c r="C6" s="8">
        <f>C5*'2016 Tax Rates_Thresholds'!D14</f>
        <v>554100</v>
      </c>
      <c r="D6" s="82" t="str">
        <f>IF(C6=C5*'2016 Tax Rates_Thresholds'!D14,"", "please review")</f>
        <v/>
      </c>
    </row>
    <row r="7" spans="1:8" x14ac:dyDescent="0.25">
      <c r="B7" s="27" t="s">
        <v>114</v>
      </c>
      <c r="C7" s="8">
        <f>MIN(C6*'2016 Tax Rates_Thresholds'!D15,'2016 Tax Rates_Thresholds'!D13*'2016 Tax Rates_Thresholds'!D15)</f>
        <v>14694</v>
      </c>
      <c r="D7" s="82" t="str">
        <f>IF(C7=MIN(C6*'2016 Tax Rates_Thresholds'!D15,'2016 Tax Rates_Thresholds'!D13*'2016 Tax Rates_Thresholds'!D15),"", "please review")</f>
        <v/>
      </c>
    </row>
    <row r="8" spans="1:8" x14ac:dyDescent="0.25">
      <c r="B8" s="27" t="s">
        <v>71</v>
      </c>
      <c r="C8" s="8">
        <f>C6*'2016 Tax Rates_Thresholds'!D16</f>
        <v>16068.900000000001</v>
      </c>
      <c r="D8" s="82" t="str">
        <f>IF(C8=C6*'2016 Tax Rates_Thresholds'!D16,"", "please review")</f>
        <v/>
      </c>
    </row>
    <row r="9" spans="1:8" ht="16.5" thickBot="1" x14ac:dyDescent="0.3">
      <c r="B9" s="30" t="s">
        <v>72</v>
      </c>
      <c r="C9" s="17">
        <f>(C7+C8)/2</f>
        <v>15381.45</v>
      </c>
      <c r="D9" s="82" t="str">
        <f>IF(C9=(C7+C8)/2,"", "please review")</f>
        <v/>
      </c>
      <c r="E9" s="36"/>
      <c r="F9" s="25"/>
    </row>
    <row r="10" spans="1:8" x14ac:dyDescent="0.25">
      <c r="B10" s="25"/>
      <c r="C10" s="32" t="s">
        <v>97</v>
      </c>
      <c r="D10" s="83"/>
      <c r="H10" s="25"/>
    </row>
    <row r="11" spans="1:8" ht="16.5" thickBot="1" x14ac:dyDescent="0.3">
      <c r="B11" s="31" t="s">
        <v>38</v>
      </c>
      <c r="C11" s="32" t="s">
        <v>30</v>
      </c>
      <c r="D11" s="84"/>
      <c r="H11" s="25"/>
    </row>
    <row r="12" spans="1:8" x14ac:dyDescent="0.25">
      <c r="B12" s="26" t="s">
        <v>73</v>
      </c>
      <c r="C12" s="16">
        <f>C1</f>
        <v>600000</v>
      </c>
      <c r="D12" s="82" t="str">
        <f>IF(C12=C1,"", "please review")</f>
        <v/>
      </c>
    </row>
    <row r="13" spans="1:8" x14ac:dyDescent="0.25">
      <c r="B13" s="29" t="s">
        <v>74</v>
      </c>
      <c r="C13" s="8">
        <f>C12*C2</f>
        <v>150000</v>
      </c>
      <c r="D13" s="82" t="str">
        <f>IF(C13=C12*C2,"", "please review")</f>
        <v/>
      </c>
    </row>
    <row r="14" spans="1:8" x14ac:dyDescent="0.25">
      <c r="B14" s="29" t="s">
        <v>98</v>
      </c>
      <c r="C14" s="8">
        <f>MIN(C13*'2016 Tax Rates_Thresholds'!D15/2,'2016 Tax Rates_Thresholds'!D13*'2016 Tax Rates_Thresholds'!D15/2)</f>
        <v>7347</v>
      </c>
      <c r="D14" s="82" t="str">
        <f>IF(C14=MIN(C13*'2016 Tax Rates_Thresholds'!D15/2,'2016 Tax Rates_Thresholds'!D13*'2016 Tax Rates_Thresholds'!D15/2),"", "please review")</f>
        <v/>
      </c>
    </row>
    <row r="15" spans="1:8" x14ac:dyDescent="0.25">
      <c r="B15" s="29" t="s">
        <v>76</v>
      </c>
      <c r="C15" s="18">
        <f>C13*'2016 Tax Rates_Thresholds'!D16/2</f>
        <v>2175</v>
      </c>
      <c r="D15" s="82" t="str">
        <f>IF(C15=C13*'2016 Tax Rates_Thresholds'!D16/2,"", "please review")</f>
        <v/>
      </c>
    </row>
    <row r="16" spans="1:8" ht="16.5" thickBot="1" x14ac:dyDescent="0.3">
      <c r="B16" s="34" t="s">
        <v>77</v>
      </c>
      <c r="C16" s="17">
        <f>C12-C13-C14-C15</f>
        <v>440478</v>
      </c>
      <c r="D16" s="82" t="str">
        <f>IF(C16=C12-C13-C14-C15,"","please review")</f>
        <v/>
      </c>
    </row>
    <row r="17" spans="2:7" x14ac:dyDescent="0.25">
      <c r="C17" s="35"/>
      <c r="D17" s="33"/>
    </row>
    <row r="18" spans="2:7" x14ac:dyDescent="0.25">
      <c r="D18" s="32" t="s">
        <v>68</v>
      </c>
      <c r="E18" s="25"/>
      <c r="F18" s="32" t="s">
        <v>97</v>
      </c>
    </row>
    <row r="19" spans="2:7" ht="16.5" thickBot="1" x14ac:dyDescent="0.3">
      <c r="B19" s="69" t="s">
        <v>39</v>
      </c>
      <c r="C19" s="38"/>
      <c r="D19" s="50" t="s">
        <v>31</v>
      </c>
      <c r="E19" s="25"/>
      <c r="F19" s="50" t="s">
        <v>30</v>
      </c>
      <c r="G19" s="38"/>
    </row>
    <row r="20" spans="2:7" x14ac:dyDescent="0.25">
      <c r="B20" s="68" t="s">
        <v>80</v>
      </c>
      <c r="C20" s="48"/>
      <c r="D20" s="70"/>
      <c r="E20" s="85"/>
      <c r="F20" s="91">
        <f>C13</f>
        <v>150000</v>
      </c>
      <c r="G20" s="98" t="str">
        <f>IF(F20=C13,"", "please review")</f>
        <v/>
      </c>
    </row>
    <row r="21" spans="2:7" x14ac:dyDescent="0.25">
      <c r="B21" s="27" t="s">
        <v>81</v>
      </c>
      <c r="C21" s="38"/>
      <c r="D21" s="8">
        <f>C5</f>
        <v>600000</v>
      </c>
      <c r="E21" s="82" t="str">
        <f>IF(D21=C5,"", "please review")</f>
        <v/>
      </c>
      <c r="F21" s="89"/>
      <c r="G21" s="99"/>
    </row>
    <row r="22" spans="2:7" x14ac:dyDescent="0.25">
      <c r="B22" s="27" t="s">
        <v>82</v>
      </c>
      <c r="C22" s="38"/>
      <c r="D22" s="40"/>
      <c r="E22" s="86"/>
      <c r="F22" s="92">
        <f>C16</f>
        <v>440478</v>
      </c>
      <c r="G22" s="99" t="str">
        <f>IF(F22=C16,"", "please review")</f>
        <v/>
      </c>
    </row>
    <row r="23" spans="2:7" x14ac:dyDescent="0.25">
      <c r="B23" s="27" t="s">
        <v>78</v>
      </c>
      <c r="C23" s="38"/>
      <c r="D23" s="18">
        <f>C9</f>
        <v>15381.45</v>
      </c>
      <c r="E23" s="82" t="str">
        <f>IF(D23=C9,"", "please review")</f>
        <v/>
      </c>
      <c r="F23" s="93"/>
      <c r="G23" s="100"/>
    </row>
    <row r="24" spans="2:7" x14ac:dyDescent="0.25">
      <c r="B24" s="27" t="s">
        <v>79</v>
      </c>
      <c r="C24" s="38"/>
      <c r="D24" s="8">
        <f>D21-D23</f>
        <v>584618.55000000005</v>
      </c>
      <c r="E24" s="82" t="str">
        <f>IF(D24=D21-D23,"", "please review")</f>
        <v/>
      </c>
      <c r="F24" s="94">
        <f>F20+F22</f>
        <v>590478</v>
      </c>
      <c r="G24" s="99" t="str">
        <f>IF(F24=F20+F22,"", "please review")</f>
        <v/>
      </c>
    </row>
    <row r="25" spans="2:7" x14ac:dyDescent="0.25">
      <c r="B25" s="27"/>
      <c r="C25" s="38"/>
      <c r="D25" s="28"/>
      <c r="E25" s="82"/>
      <c r="F25" s="89"/>
      <c r="G25" s="99"/>
    </row>
    <row r="26" spans="2:7" x14ac:dyDescent="0.25">
      <c r="B26" s="27" t="s">
        <v>116</v>
      </c>
      <c r="C26" s="38"/>
      <c r="D26" s="8">
        <f>ROUND((D24-VLOOKUP(D24,'2016 Tax Rates_Thresholds'!A4:D10,1))*VLOOKUP(D24,'2016 Tax Rates_Thresholds'!A4:D10,4)+VLOOKUP(D24,'2016 Tax Rates_Thresholds'!A4:D10,3),0)</f>
        <v>187679</v>
      </c>
      <c r="E26" s="82" t="str">
        <f>IF(D26=ROUND((D24-VLOOKUP(D24,'2016 Tax Rates_Thresholds'!A4:D10,1))*VLOOKUP(D24,'2016 Tax Rates_Thresholds'!A4:D10,4)+VLOOKUP(D24,'2016 Tax Rates_Thresholds'!A4:D10,3),0),"","please review")</f>
        <v/>
      </c>
      <c r="F26" s="94">
        <f>ROUND((F24-VLOOKUP(F24,'2016 Tax Rates_Thresholds'!A4:D10,1))*VLOOKUP(F24,'2016 Tax Rates_Thresholds'!A4:D10,4)+VLOOKUP(F24,'2016 Tax Rates_Thresholds'!A4:D10,3),0)</f>
        <v>189999</v>
      </c>
      <c r="G26" s="99" t="str">
        <f>IF(F26=ROUND((F24-VLOOKUP(F24,'2016 Tax Rates_Thresholds'!A4:D10,1))*VLOOKUP(F24,'2016 Tax Rates_Thresholds'!A4:D10,4)+VLOOKUP(F24,'2016 Tax Rates_Thresholds'!A4:D10,3),0),"","please review")</f>
        <v/>
      </c>
    </row>
    <row r="27" spans="2:7" x14ac:dyDescent="0.25">
      <c r="B27" s="27"/>
      <c r="C27" s="38"/>
      <c r="D27" s="81"/>
      <c r="E27" s="82"/>
      <c r="F27" s="95"/>
      <c r="G27" s="99"/>
    </row>
    <row r="28" spans="2:7" x14ac:dyDescent="0.25">
      <c r="B28" s="27" t="s">
        <v>75</v>
      </c>
      <c r="C28" s="38"/>
      <c r="D28" s="29"/>
      <c r="E28" s="82"/>
      <c r="F28" s="94">
        <f>C14</f>
        <v>7347</v>
      </c>
      <c r="G28" s="99" t="str">
        <f>IF(F28=C14,"", "please review")</f>
        <v/>
      </c>
    </row>
    <row r="29" spans="2:7" x14ac:dyDescent="0.25">
      <c r="B29" s="27" t="s">
        <v>76</v>
      </c>
      <c r="C29" s="38"/>
      <c r="D29" s="29"/>
      <c r="E29" s="82"/>
      <c r="F29" s="94">
        <f>C15</f>
        <v>2175</v>
      </c>
      <c r="G29" s="99" t="str">
        <f>IF(F29=C15,"", "please review")</f>
        <v/>
      </c>
    </row>
    <row r="30" spans="2:7" x14ac:dyDescent="0.25">
      <c r="B30" s="27" t="s">
        <v>83</v>
      </c>
      <c r="C30" s="38"/>
      <c r="D30" s="28"/>
      <c r="E30" s="82"/>
      <c r="F30" s="94">
        <f>F28</f>
        <v>7347</v>
      </c>
      <c r="G30" s="99" t="str">
        <f>IF(F30=F28,"", "please review")</f>
        <v/>
      </c>
    </row>
    <row r="31" spans="2:7" x14ac:dyDescent="0.25">
      <c r="B31" s="27" t="s">
        <v>84</v>
      </c>
      <c r="C31" s="38"/>
      <c r="D31" s="28"/>
      <c r="E31" s="82"/>
      <c r="F31" s="94">
        <f>F29</f>
        <v>2175</v>
      </c>
      <c r="G31" s="99" t="str">
        <f>IF(F31=F29,"","please review")</f>
        <v/>
      </c>
    </row>
    <row r="32" spans="2:7" x14ac:dyDescent="0.25">
      <c r="B32" s="27" t="s">
        <v>85</v>
      </c>
      <c r="C32" s="38"/>
      <c r="D32" s="8">
        <f>C7</f>
        <v>14694</v>
      </c>
      <c r="E32" s="82" t="str">
        <f>IF(D32=C7,"", "please review")</f>
        <v/>
      </c>
      <c r="F32" s="89"/>
      <c r="G32" s="101"/>
    </row>
    <row r="33" spans="1:8" x14ac:dyDescent="0.25">
      <c r="B33" s="27" t="s">
        <v>86</v>
      </c>
      <c r="C33" s="38"/>
      <c r="D33" s="8">
        <f>C8</f>
        <v>16068.900000000001</v>
      </c>
      <c r="E33" s="82" t="str">
        <f>IF(D33=C8,"", "please review")</f>
        <v/>
      </c>
      <c r="F33" s="89"/>
      <c r="G33" s="101"/>
    </row>
    <row r="34" spans="1:8" x14ac:dyDescent="0.25">
      <c r="B34" s="27" t="s">
        <v>53</v>
      </c>
      <c r="C34" s="38"/>
      <c r="D34" s="8">
        <f>MAX(0,(C5-'2016 Tax Rates_Thresholds'!D21)*'2016 Tax Rates_Thresholds'!D23)</f>
        <v>3599.9999999999995</v>
      </c>
      <c r="E34" s="82" t="str">
        <f>IF(D34=MAX(0,(C5-'2016 Tax Rates_Thresholds'!D21)*'2016 Tax Rates_Thresholds'!D23),"", "please review")</f>
        <v/>
      </c>
      <c r="F34" s="94">
        <f>MAX(0,(F20-'2016 Tax Rates_Thresholds'!D21)*'2016 Tax Rates_Thresholds'!D23)</f>
        <v>0</v>
      </c>
      <c r="G34" s="99" t="str">
        <f>IF(F34=MAX(0,(F20-'2016 Tax Rates_Thresholds'!D21)*'2016 Tax Rates_Thresholds'!D23),"", "please review")</f>
        <v/>
      </c>
    </row>
    <row r="35" spans="1:8" x14ac:dyDescent="0.25">
      <c r="B35" s="27"/>
      <c r="C35" s="38"/>
      <c r="D35" s="28"/>
      <c r="E35" s="82"/>
      <c r="F35" s="89"/>
      <c r="G35" s="101"/>
    </row>
    <row r="36" spans="1:8" x14ac:dyDescent="0.25">
      <c r="B36" s="27" t="s">
        <v>88</v>
      </c>
      <c r="C36" s="42"/>
      <c r="D36" s="8">
        <f>SUM(D32:D34)</f>
        <v>34362.9</v>
      </c>
      <c r="E36" s="82" t="str">
        <f>IF(D36=SUM(D32:D34),"", "please review")</f>
        <v/>
      </c>
      <c r="F36" s="94">
        <f>SUM(F28:F34)</f>
        <v>19044</v>
      </c>
      <c r="G36" s="99" t="str">
        <f>IF(F36=SUM(F28:F34),"", "please review")</f>
        <v/>
      </c>
    </row>
    <row r="37" spans="1:8" ht="16.5" thickBot="1" x14ac:dyDescent="0.3">
      <c r="B37" s="43"/>
      <c r="C37" s="38"/>
      <c r="D37" s="44"/>
      <c r="E37" s="82"/>
      <c r="F37" s="90"/>
      <c r="G37" s="101"/>
    </row>
    <row r="38" spans="1:8" x14ac:dyDescent="0.25">
      <c r="B38" s="68" t="s">
        <v>89</v>
      </c>
      <c r="C38" s="48"/>
      <c r="D38" s="16">
        <f>D36+D26</f>
        <v>222041.9</v>
      </c>
      <c r="E38" s="82" t="str">
        <f>IF(D38=D36+D26,"", "please review")</f>
        <v/>
      </c>
      <c r="F38" s="96">
        <f>F36+F26</f>
        <v>209043</v>
      </c>
      <c r="G38" s="99" t="str">
        <f>IF(F38=F36+F26,"", "please review")</f>
        <v/>
      </c>
    </row>
    <row r="39" spans="1:8" x14ac:dyDescent="0.25">
      <c r="B39" s="27" t="s">
        <v>90</v>
      </c>
      <c r="C39" s="38"/>
      <c r="D39" s="45"/>
      <c r="E39" s="87"/>
      <c r="F39" s="94">
        <f>D38-F38</f>
        <v>12998.899999999994</v>
      </c>
      <c r="G39" s="99" t="str">
        <f>IF(F39=D38-F38,"", "please review")</f>
        <v/>
      </c>
    </row>
    <row r="40" spans="1:8" ht="16.5" thickBot="1" x14ac:dyDescent="0.3">
      <c r="B40" s="30" t="s">
        <v>91</v>
      </c>
      <c r="C40" s="46"/>
      <c r="D40" s="47"/>
      <c r="E40" s="88"/>
      <c r="F40" s="97">
        <f>F39/C1</f>
        <v>2.1664833333333324E-2</v>
      </c>
      <c r="G40" s="102" t="str">
        <f>IF(F40=F39/C1,"", "please review")</f>
        <v/>
      </c>
    </row>
    <row r="41" spans="1:8" x14ac:dyDescent="0.25">
      <c r="A41" s="38"/>
      <c r="B41" s="48"/>
      <c r="C41" s="48"/>
      <c r="D41" s="48"/>
      <c r="E41" s="48"/>
      <c r="F41" s="49"/>
      <c r="G41" s="50"/>
      <c r="H41" s="51"/>
    </row>
    <row r="42" spans="1:8" ht="16.5" thickBot="1" x14ac:dyDescent="0.3">
      <c r="A42" s="38"/>
      <c r="B42" s="42" t="s">
        <v>32</v>
      </c>
      <c r="C42" s="38"/>
      <c r="D42" s="38"/>
      <c r="E42" s="38"/>
      <c r="F42" s="50"/>
      <c r="G42" s="50"/>
      <c r="H42" s="52"/>
    </row>
    <row r="43" spans="1:8" x14ac:dyDescent="0.25">
      <c r="B43" s="63" t="s">
        <v>92</v>
      </c>
      <c r="C43" s="11">
        <f>F26-D26</f>
        <v>2320</v>
      </c>
      <c r="D43" s="82" t="str">
        <f>IF(C43=F26-D26,"", "please review")</f>
        <v/>
      </c>
      <c r="E43" s="39"/>
    </row>
    <row r="44" spans="1:8" x14ac:dyDescent="0.25">
      <c r="B44" s="64" t="s">
        <v>94</v>
      </c>
      <c r="C44" s="7">
        <f>F28+F30-D32</f>
        <v>0</v>
      </c>
      <c r="D44" s="82" t="str">
        <f>IF(C44=F28+F30-D32,"", "please review")</f>
        <v/>
      </c>
      <c r="E44" s="39"/>
    </row>
    <row r="45" spans="1:8" x14ac:dyDescent="0.25">
      <c r="B45" s="64" t="s">
        <v>111</v>
      </c>
      <c r="C45" s="7">
        <f>F29+F31-D33</f>
        <v>-11718.900000000001</v>
      </c>
      <c r="D45" s="82" t="str">
        <f>IF(C45=F29+F31-D33,"", "please review")</f>
        <v/>
      </c>
      <c r="E45" s="39"/>
    </row>
    <row r="46" spans="1:8" x14ac:dyDescent="0.25">
      <c r="B46" s="64" t="s">
        <v>95</v>
      </c>
      <c r="C46" s="7">
        <f>F34-D34</f>
        <v>-3599.9999999999995</v>
      </c>
      <c r="D46" s="82" t="str">
        <f>IF(C46=F34-D34,"","please review")</f>
        <v/>
      </c>
      <c r="E46" s="39"/>
    </row>
    <row r="47" spans="1:8" ht="16.5" thickBot="1" x14ac:dyDescent="0.3">
      <c r="B47" s="65" t="s">
        <v>93</v>
      </c>
      <c r="C47" s="55">
        <f>F38-D38</f>
        <v>-12998.899999999994</v>
      </c>
      <c r="D47" s="82" t="str">
        <f>IF(C47=F38-D38,"", "please review")</f>
        <v/>
      </c>
      <c r="E47" s="39"/>
    </row>
    <row r="48" spans="1:8" x14ac:dyDescent="0.25">
      <c r="B48" s="38"/>
      <c r="C48" s="38"/>
      <c r="D48" s="38"/>
      <c r="E48" s="38"/>
      <c r="F48" s="37"/>
      <c r="G48" s="37"/>
      <c r="H48" s="37"/>
    </row>
    <row r="49" spans="2:7" x14ac:dyDescent="0.25">
      <c r="B49" s="38"/>
      <c r="C49" s="38"/>
      <c r="D49" s="38"/>
      <c r="E49" s="38"/>
      <c r="F49" s="37"/>
      <c r="G49" s="37"/>
    </row>
    <row r="50" spans="2:7" x14ac:dyDescent="0.25">
      <c r="D50" s="38"/>
    </row>
    <row r="51" spans="2:7" x14ac:dyDescent="0.25">
      <c r="B51" s="24" t="s">
        <v>101</v>
      </c>
      <c r="C51" s="53"/>
      <c r="D51" s="53"/>
      <c r="E51" s="53"/>
      <c r="F51" s="54"/>
      <c r="G51" s="54"/>
    </row>
    <row r="1048543" spans="9:9" x14ac:dyDescent="0.25">
      <c r="I1048543" s="37"/>
    </row>
  </sheetData>
  <sheetProtection selectLockedCells="1"/>
  <mergeCells count="1">
    <mergeCell ref="A1:B1"/>
  </mergeCells>
  <pageMargins left="0.7" right="0.7" top="0.75" bottom="0.75" header="0.3" footer="0.3"/>
  <pageSetup scale="62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zoomScale="115" zoomScaleNormal="115" zoomScalePageLayoutView="80" workbookViewId="0">
      <selection sqref="A1:D1"/>
    </sheetView>
  </sheetViews>
  <sheetFormatPr defaultColWidth="8.7109375" defaultRowHeight="15.75" x14ac:dyDescent="0.25"/>
  <cols>
    <col min="1" max="1" width="39.7109375" style="19" customWidth="1"/>
    <col min="2" max="2" width="20.42578125" style="19" customWidth="1"/>
    <col min="3" max="3" width="20.7109375" style="19" customWidth="1"/>
    <col min="4" max="4" width="20.5703125" style="19" customWidth="1"/>
    <col min="5" max="5" width="21.7109375" style="19" customWidth="1"/>
    <col min="6" max="9" width="19.85546875" style="19" bestFit="1" customWidth="1"/>
    <col min="10" max="16384" width="8.7109375" style="19"/>
  </cols>
  <sheetData>
    <row r="1" spans="1:9" x14ac:dyDescent="0.25">
      <c r="A1" s="106" t="s">
        <v>44</v>
      </c>
      <c r="B1" s="106"/>
      <c r="C1" s="106"/>
      <c r="D1" s="106"/>
    </row>
    <row r="3" spans="1:9" x14ac:dyDescent="0.25">
      <c r="A3" s="20"/>
      <c r="B3" s="105" t="s">
        <v>50</v>
      </c>
      <c r="C3" s="105"/>
      <c r="D3" s="105" t="s">
        <v>102</v>
      </c>
      <c r="E3" s="105"/>
      <c r="F3" s="105" t="s">
        <v>103</v>
      </c>
      <c r="G3" s="105"/>
      <c r="H3" s="105" t="s">
        <v>104</v>
      </c>
      <c r="I3" s="105"/>
    </row>
    <row r="4" spans="1:9" x14ac:dyDescent="0.25">
      <c r="A4" s="20"/>
      <c r="B4" s="21" t="s">
        <v>68</v>
      </c>
      <c r="C4" s="21" t="s">
        <v>97</v>
      </c>
      <c r="D4" s="21" t="s">
        <v>68</v>
      </c>
      <c r="E4" s="21" t="s">
        <v>97</v>
      </c>
      <c r="F4" s="21" t="s">
        <v>68</v>
      </c>
      <c r="G4" s="21" t="s">
        <v>97</v>
      </c>
      <c r="H4" s="21" t="s">
        <v>68</v>
      </c>
      <c r="I4" s="21" t="s">
        <v>97</v>
      </c>
    </row>
    <row r="5" spans="1:9" x14ac:dyDescent="0.25">
      <c r="A5" s="22" t="s">
        <v>51</v>
      </c>
      <c r="B5" s="12">
        <f>'Task 1_$100000'!$D$26</f>
        <v>19059</v>
      </c>
      <c r="C5" s="12">
        <f>'Task 1_$100000'!$F$26</f>
        <v>20501</v>
      </c>
      <c r="D5" s="12">
        <f>'Task 1_$200000'!$D$26</f>
        <v>46230</v>
      </c>
      <c r="E5" s="12">
        <f>'Task 1_$200000'!$F$26</f>
        <v>48267</v>
      </c>
      <c r="F5" s="12">
        <f>'Task 1_$400000'!$D$26</f>
        <v>111337</v>
      </c>
      <c r="G5" s="12">
        <f>'Task 1_$400000'!$F$26</f>
        <v>113005</v>
      </c>
      <c r="H5" s="12">
        <f>'Task 1_$600000'!$D$26</f>
        <v>187679</v>
      </c>
      <c r="I5" s="12">
        <f>'Task 1_$600000'!$F$26</f>
        <v>189999</v>
      </c>
    </row>
    <row r="6" spans="1:9" x14ac:dyDescent="0.25">
      <c r="A6" s="22" t="s">
        <v>52</v>
      </c>
      <c r="B6" s="12">
        <f>'Task 1_$100000'!$D$32+'Task 1_$100000'!$D$33</f>
        <v>14129.55</v>
      </c>
      <c r="C6" s="12">
        <f>'Task 1_$100000'!$F$28+'Task 1_$100000'!$F$29+'Task 1_$100000'!$F$30+'Task 1_$100000'!$F$31</f>
        <v>3825</v>
      </c>
      <c r="D6" s="12">
        <f>'Task 1_$200000'!$D$32+'Task 1_$200000'!$D$33</f>
        <v>20050.3</v>
      </c>
      <c r="E6" s="12">
        <f>'Task 1_$200000'!$F$28+'Task 1_$200000'!$F$29+'Task 1_$200000'!$F$30+'Task 1_$200000'!$F$31</f>
        <v>7650</v>
      </c>
      <c r="F6" s="12">
        <f>'Task 1_$400000'!$D$32+'Task 1_$400000'!$D$33</f>
        <v>25406.6</v>
      </c>
      <c r="G6" s="12">
        <f>'Task 1_$400000'!$F$28+'Task 1_$400000'!$F$29+'Task 1_$400000'!$F$30+'Task 1_$400000'!$F$31</f>
        <v>15300</v>
      </c>
      <c r="H6" s="12">
        <f>'Task 1_$600000'!$D$32+'Task 1_$600000'!$D$33</f>
        <v>30762.9</v>
      </c>
      <c r="I6" s="12">
        <f>'Task 1_$600000'!$F$28+'Task 1_$600000'!$F$29+'Task 1_$600000'!$F$30+'Task 1_$600000'!$F$31</f>
        <v>19044</v>
      </c>
    </row>
    <row r="7" spans="1:9" x14ac:dyDescent="0.25">
      <c r="A7" s="22" t="s">
        <v>53</v>
      </c>
      <c r="B7" s="12">
        <f>'Task 1_$100000'!$D$34</f>
        <v>0</v>
      </c>
      <c r="C7" s="12">
        <f>'Task 1_$100000'!$F$34</f>
        <v>0</v>
      </c>
      <c r="D7" s="12">
        <f>'Task 1_$200000'!$D$34</f>
        <v>0</v>
      </c>
      <c r="E7" s="12">
        <f>'Task 1_$200000'!$F$34</f>
        <v>0</v>
      </c>
      <c r="F7" s="12">
        <f>'Task 1_$400000'!$D$34</f>
        <v>1799.9999999999998</v>
      </c>
      <c r="G7" s="12">
        <f>'Task 1_$400000'!$F$34</f>
        <v>0</v>
      </c>
      <c r="H7" s="12">
        <f>'Task 1_$600000'!$D$34</f>
        <v>3599.9999999999995</v>
      </c>
      <c r="I7" s="12">
        <f>'Task 1_$600000'!$F$34</f>
        <v>0</v>
      </c>
    </row>
    <row r="8" spans="1:9" x14ac:dyDescent="0.25">
      <c r="A8" s="66" t="s">
        <v>54</v>
      </c>
      <c r="B8" s="13">
        <f>'Task 1_$100000'!$D$38</f>
        <v>33188.550000000003</v>
      </c>
      <c r="C8" s="13">
        <f>'Task 1_$100000'!$F$38</f>
        <v>24326</v>
      </c>
      <c r="D8" s="13">
        <f>'Task 1_$200000'!$D$38</f>
        <v>66280.3</v>
      </c>
      <c r="E8" s="13">
        <f>'Task 1_$200000'!$F$38</f>
        <v>55917</v>
      </c>
      <c r="F8" s="13">
        <f>'Task 1_$400000'!$D$38</f>
        <v>138543.6</v>
      </c>
      <c r="G8" s="13">
        <f>'Task 1_$400000'!$F$38</f>
        <v>128305</v>
      </c>
      <c r="H8" s="13">
        <f>'Task 1_$600000'!$D$38</f>
        <v>222041.9</v>
      </c>
      <c r="I8" s="13">
        <f>'Task 1_$600000'!$F$38</f>
        <v>209043</v>
      </c>
    </row>
    <row r="11" spans="1:9" x14ac:dyDescent="0.25">
      <c r="A11" s="19" t="s">
        <v>105</v>
      </c>
      <c r="E11" s="14">
        <f>B8-C8</f>
        <v>8862.5500000000029</v>
      </c>
    </row>
    <row r="12" spans="1:9" x14ac:dyDescent="0.25">
      <c r="A12" s="19" t="s">
        <v>36</v>
      </c>
      <c r="E12" s="14" t="s">
        <v>52</v>
      </c>
      <c r="F12" s="23"/>
    </row>
    <row r="13" spans="1:9" x14ac:dyDescent="0.25">
      <c r="A13" s="19" t="s">
        <v>45</v>
      </c>
      <c r="E13" s="14" t="s">
        <v>41</v>
      </c>
      <c r="F13" s="23"/>
    </row>
    <row r="15" spans="1:9" x14ac:dyDescent="0.25">
      <c r="A15" s="19" t="s">
        <v>106</v>
      </c>
      <c r="E15" s="14">
        <f>D8-E8</f>
        <v>10363.300000000003</v>
      </c>
    </row>
    <row r="16" spans="1:9" x14ac:dyDescent="0.25">
      <c r="A16" s="19" t="s">
        <v>36</v>
      </c>
      <c r="E16" s="14" t="s">
        <v>52</v>
      </c>
      <c r="F16" s="23"/>
    </row>
    <row r="17" spans="1:20" x14ac:dyDescent="0.25">
      <c r="A17" s="19" t="s">
        <v>45</v>
      </c>
      <c r="E17" s="14" t="s">
        <v>41</v>
      </c>
      <c r="F17" s="23"/>
    </row>
    <row r="19" spans="1:20" x14ac:dyDescent="0.25">
      <c r="A19" s="19" t="s">
        <v>107</v>
      </c>
      <c r="E19" s="14">
        <f>F8-G8</f>
        <v>10238.600000000006</v>
      </c>
    </row>
    <row r="20" spans="1:20" x14ac:dyDescent="0.25">
      <c r="A20" s="19" t="s">
        <v>36</v>
      </c>
      <c r="E20" s="14" t="s">
        <v>52</v>
      </c>
      <c r="F20" s="23"/>
      <c r="T20" s="19" t="s">
        <v>40</v>
      </c>
    </row>
    <row r="21" spans="1:20" x14ac:dyDescent="0.25">
      <c r="A21" s="19" t="s">
        <v>45</v>
      </c>
      <c r="E21" s="14" t="s">
        <v>41</v>
      </c>
      <c r="F21" s="23"/>
    </row>
    <row r="22" spans="1:20" x14ac:dyDescent="0.25">
      <c r="T22" s="19" t="s">
        <v>41</v>
      </c>
    </row>
    <row r="23" spans="1:20" x14ac:dyDescent="0.25">
      <c r="A23" s="19" t="s">
        <v>108</v>
      </c>
      <c r="E23" s="14">
        <f>H8-I8</f>
        <v>12998.899999999994</v>
      </c>
    </row>
    <row r="24" spans="1:20" x14ac:dyDescent="0.25">
      <c r="A24" s="19" t="s">
        <v>36</v>
      </c>
      <c r="E24" s="14" t="s">
        <v>52</v>
      </c>
      <c r="F24" s="23"/>
    </row>
    <row r="25" spans="1:20" x14ac:dyDescent="0.25">
      <c r="A25" s="19" t="s">
        <v>45</v>
      </c>
      <c r="E25" s="14" t="s">
        <v>41</v>
      </c>
      <c r="F25" s="23"/>
    </row>
    <row r="27" spans="1:20" x14ac:dyDescent="0.25">
      <c r="A27" s="19" t="s">
        <v>109</v>
      </c>
    </row>
    <row r="28" spans="1:20" x14ac:dyDescent="0.25">
      <c r="A28" s="19" t="s">
        <v>110</v>
      </c>
      <c r="E28" s="15" t="s">
        <v>43</v>
      </c>
      <c r="S28" s="19" t="s">
        <v>42</v>
      </c>
    </row>
    <row r="29" spans="1:20" x14ac:dyDescent="0.25">
      <c r="S29" s="19" t="s">
        <v>43</v>
      </c>
    </row>
    <row r="38" spans="1:1" x14ac:dyDescent="0.25">
      <c r="A38" s="56"/>
    </row>
  </sheetData>
  <mergeCells count="5">
    <mergeCell ref="B3:C3"/>
    <mergeCell ref="D3:E3"/>
    <mergeCell ref="F3:G3"/>
    <mergeCell ref="H3:I3"/>
    <mergeCell ref="A1:D1"/>
  </mergeCells>
  <dataValidations count="3">
    <dataValidation type="list" allowBlank="1" showInputMessage="1" showErrorMessage="1" sqref="E20 E12 E16 E24">
      <formula1>$A$5:$A$7</formula1>
    </dataValidation>
    <dataValidation type="list" allowBlank="1" showInputMessage="1" showErrorMessage="1" sqref="E28">
      <formula1>$S$28:$S$29</formula1>
    </dataValidation>
    <dataValidation type="list" allowBlank="1" showInputMessage="1" showErrorMessage="1" sqref="E13 E17 E21 E25">
      <formula1>$T$20:$T$22</formula1>
    </dataValidation>
  </dataValidation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workbookViewId="0">
      <selection activeCell="I7" sqref="I7:I57"/>
    </sheetView>
  </sheetViews>
  <sheetFormatPr defaultColWidth="11.42578125" defaultRowHeight="12.75" x14ac:dyDescent="0.2"/>
  <sheetData>
    <row r="1" spans="1:10" x14ac:dyDescent="0.2">
      <c r="A1" t="s">
        <v>3</v>
      </c>
    </row>
    <row r="3" spans="1:10" x14ac:dyDescent="0.2">
      <c r="A3" t="s">
        <v>5</v>
      </c>
    </row>
    <row r="4" spans="1:10" x14ac:dyDescent="0.2">
      <c r="A4" t="s">
        <v>6</v>
      </c>
    </row>
    <row r="6" spans="1:10" x14ac:dyDescent="0.2">
      <c r="A6" t="s">
        <v>4</v>
      </c>
      <c r="B6" t="s">
        <v>8</v>
      </c>
      <c r="C6" t="s">
        <v>9</v>
      </c>
      <c r="D6" t="s">
        <v>1</v>
      </c>
      <c r="E6" t="s">
        <v>10</v>
      </c>
      <c r="F6" t="s">
        <v>11</v>
      </c>
      <c r="G6" t="s">
        <v>12</v>
      </c>
      <c r="H6" t="s">
        <v>13</v>
      </c>
      <c r="I6" t="s">
        <v>7</v>
      </c>
      <c r="J6" t="s">
        <v>0</v>
      </c>
    </row>
    <row r="7" spans="1:10" x14ac:dyDescent="0.2">
      <c r="A7">
        <v>0</v>
      </c>
      <c r="B7">
        <f>0.3*A7</f>
        <v>0</v>
      </c>
      <c r="C7">
        <f>A7-B7</f>
        <v>0</v>
      </c>
      <c r="D7">
        <f>0</f>
        <v>0</v>
      </c>
      <c r="E7">
        <f t="shared" ref="E7:E25" si="0">B7*0.062</f>
        <v>0</v>
      </c>
      <c r="F7">
        <f>B7*0.0145</f>
        <v>0</v>
      </c>
      <c r="G7">
        <f t="shared" ref="G7:G25" si="1">B7*0.062</f>
        <v>0</v>
      </c>
      <c r="H7">
        <f>B7*0.0145</f>
        <v>0</v>
      </c>
      <c r="I7">
        <v>0</v>
      </c>
      <c r="J7">
        <f t="shared" ref="J7:J57" si="2">B7+(C7-E7-F7)</f>
        <v>0</v>
      </c>
    </row>
    <row r="8" spans="1:10" x14ac:dyDescent="0.2">
      <c r="A8" s="2">
        <v>20000</v>
      </c>
      <c r="B8">
        <f t="shared" ref="B8:B57" si="3">0.3*A8</f>
        <v>6000</v>
      </c>
      <c r="C8">
        <f t="shared" ref="C8:C57" si="4">A8-B8</f>
        <v>14000</v>
      </c>
      <c r="D8">
        <f>892.5+(0.15*(J8-8925))</f>
        <v>2484.8999999999996</v>
      </c>
      <c r="E8">
        <f t="shared" si="0"/>
        <v>372</v>
      </c>
      <c r="F8">
        <f t="shared" ref="F8:F57" si="5">B8*0.0145</f>
        <v>87</v>
      </c>
      <c r="G8">
        <f t="shared" si="1"/>
        <v>372</v>
      </c>
      <c r="H8">
        <f t="shared" ref="H8:H57" si="6">B8*0.0145</f>
        <v>87</v>
      </c>
      <c r="I8">
        <v>0</v>
      </c>
      <c r="J8">
        <f t="shared" si="2"/>
        <v>19541</v>
      </c>
    </row>
    <row r="9" spans="1:10" x14ac:dyDescent="0.2">
      <c r="A9" s="2">
        <v>40000</v>
      </c>
      <c r="B9">
        <f t="shared" si="3"/>
        <v>12000</v>
      </c>
      <c r="C9">
        <f t="shared" si="4"/>
        <v>28000</v>
      </c>
      <c r="D9">
        <f t="shared" ref="D9:D11" si="7">4991.25+0.25*(J9-36250)</f>
        <v>5699.25</v>
      </c>
      <c r="E9">
        <f t="shared" si="0"/>
        <v>744</v>
      </c>
      <c r="F9">
        <f t="shared" si="5"/>
        <v>174</v>
      </c>
      <c r="G9">
        <f t="shared" si="1"/>
        <v>744</v>
      </c>
      <c r="H9">
        <f t="shared" si="6"/>
        <v>174</v>
      </c>
      <c r="I9">
        <v>0</v>
      </c>
      <c r="J9">
        <f t="shared" si="2"/>
        <v>39082</v>
      </c>
    </row>
    <row r="10" spans="1:10" x14ac:dyDescent="0.2">
      <c r="A10" s="2">
        <v>60000</v>
      </c>
      <c r="B10">
        <f t="shared" si="3"/>
        <v>18000</v>
      </c>
      <c r="C10">
        <f t="shared" si="4"/>
        <v>42000</v>
      </c>
      <c r="D10">
        <f t="shared" si="7"/>
        <v>10584.5</v>
      </c>
      <c r="E10">
        <f t="shared" si="0"/>
        <v>1116</v>
      </c>
      <c r="F10">
        <f t="shared" si="5"/>
        <v>261</v>
      </c>
      <c r="G10">
        <f t="shared" si="1"/>
        <v>1116</v>
      </c>
      <c r="H10">
        <f t="shared" si="6"/>
        <v>261</v>
      </c>
      <c r="I10">
        <v>0</v>
      </c>
      <c r="J10">
        <f t="shared" si="2"/>
        <v>58623</v>
      </c>
    </row>
    <row r="11" spans="1:10" x14ac:dyDescent="0.2">
      <c r="A11" s="2">
        <v>80000</v>
      </c>
      <c r="B11">
        <f t="shared" si="3"/>
        <v>24000</v>
      </c>
      <c r="C11">
        <f t="shared" si="4"/>
        <v>56000</v>
      </c>
      <c r="D11">
        <f t="shared" si="7"/>
        <v>15469.75</v>
      </c>
      <c r="E11">
        <f t="shared" si="0"/>
        <v>1488</v>
      </c>
      <c r="F11">
        <f t="shared" si="5"/>
        <v>348</v>
      </c>
      <c r="G11">
        <f t="shared" si="1"/>
        <v>1488</v>
      </c>
      <c r="H11">
        <f t="shared" si="6"/>
        <v>348</v>
      </c>
      <c r="I11">
        <v>0</v>
      </c>
      <c r="J11">
        <f t="shared" si="2"/>
        <v>78164</v>
      </c>
    </row>
    <row r="12" spans="1:10" x14ac:dyDescent="0.2">
      <c r="A12" s="2">
        <v>100000</v>
      </c>
      <c r="B12">
        <f t="shared" si="3"/>
        <v>30000</v>
      </c>
      <c r="C12">
        <f t="shared" si="4"/>
        <v>70000</v>
      </c>
      <c r="D12">
        <f>17891.25+0.28*(J12-87850)</f>
        <v>20650.650000000001</v>
      </c>
      <c r="E12">
        <f t="shared" si="0"/>
        <v>1860</v>
      </c>
      <c r="F12">
        <f t="shared" si="5"/>
        <v>435</v>
      </c>
      <c r="G12">
        <f t="shared" si="1"/>
        <v>1860</v>
      </c>
      <c r="H12">
        <f t="shared" si="6"/>
        <v>435</v>
      </c>
      <c r="I12">
        <v>0</v>
      </c>
      <c r="J12">
        <f t="shared" si="2"/>
        <v>97705</v>
      </c>
    </row>
    <row r="13" spans="1:10" x14ac:dyDescent="0.2">
      <c r="A13" s="2">
        <v>120000</v>
      </c>
      <c r="B13">
        <f t="shared" si="3"/>
        <v>36000</v>
      </c>
      <c r="C13">
        <f t="shared" si="4"/>
        <v>84000</v>
      </c>
      <c r="D13">
        <f t="shared" ref="D13:D16" si="8">17891.25+0.28*(J13-87850)</f>
        <v>26122.13</v>
      </c>
      <c r="E13">
        <f t="shared" si="0"/>
        <v>2232</v>
      </c>
      <c r="F13">
        <f t="shared" si="5"/>
        <v>522</v>
      </c>
      <c r="G13">
        <f t="shared" si="1"/>
        <v>2232</v>
      </c>
      <c r="H13">
        <f t="shared" si="6"/>
        <v>522</v>
      </c>
      <c r="I13">
        <v>0</v>
      </c>
      <c r="J13">
        <f t="shared" si="2"/>
        <v>117246</v>
      </c>
    </row>
    <row r="14" spans="1:10" x14ac:dyDescent="0.2">
      <c r="A14" s="2">
        <v>140000</v>
      </c>
      <c r="B14">
        <f t="shared" si="3"/>
        <v>42000</v>
      </c>
      <c r="C14">
        <f t="shared" si="4"/>
        <v>98000</v>
      </c>
      <c r="D14">
        <f t="shared" si="8"/>
        <v>31593.61</v>
      </c>
      <c r="E14">
        <f t="shared" si="0"/>
        <v>2604</v>
      </c>
      <c r="F14">
        <f t="shared" si="5"/>
        <v>609</v>
      </c>
      <c r="G14">
        <f t="shared" si="1"/>
        <v>2604</v>
      </c>
      <c r="H14">
        <f t="shared" si="6"/>
        <v>609</v>
      </c>
      <c r="I14">
        <v>0</v>
      </c>
      <c r="J14">
        <f t="shared" si="2"/>
        <v>136787</v>
      </c>
    </row>
    <row r="15" spans="1:10" x14ac:dyDescent="0.2">
      <c r="A15" s="2">
        <v>160000</v>
      </c>
      <c r="B15">
        <f t="shared" si="3"/>
        <v>48000</v>
      </c>
      <c r="C15">
        <f t="shared" si="4"/>
        <v>112000</v>
      </c>
      <c r="D15">
        <f t="shared" si="8"/>
        <v>37065.089999999997</v>
      </c>
      <c r="E15">
        <f t="shared" si="0"/>
        <v>2976</v>
      </c>
      <c r="F15">
        <f t="shared" si="5"/>
        <v>696</v>
      </c>
      <c r="G15">
        <f t="shared" si="1"/>
        <v>2976</v>
      </c>
      <c r="H15">
        <f t="shared" si="6"/>
        <v>696</v>
      </c>
      <c r="I15">
        <v>0</v>
      </c>
      <c r="J15">
        <f t="shared" si="2"/>
        <v>156328</v>
      </c>
    </row>
    <row r="16" spans="1:10" x14ac:dyDescent="0.2">
      <c r="A16" s="2">
        <v>180000</v>
      </c>
      <c r="B16">
        <f t="shared" si="3"/>
        <v>54000</v>
      </c>
      <c r="C16">
        <f t="shared" si="4"/>
        <v>126000</v>
      </c>
      <c r="D16">
        <f t="shared" si="8"/>
        <v>42536.570000000007</v>
      </c>
      <c r="E16">
        <f t="shared" si="0"/>
        <v>3348</v>
      </c>
      <c r="F16">
        <f t="shared" si="5"/>
        <v>783</v>
      </c>
      <c r="G16">
        <f t="shared" si="1"/>
        <v>3348</v>
      </c>
      <c r="H16">
        <f t="shared" si="6"/>
        <v>783</v>
      </c>
      <c r="I16">
        <v>0</v>
      </c>
      <c r="J16">
        <f t="shared" si="2"/>
        <v>175869</v>
      </c>
    </row>
    <row r="17" spans="1:10" x14ac:dyDescent="0.2">
      <c r="A17" s="2">
        <v>200000</v>
      </c>
      <c r="B17">
        <f t="shared" si="3"/>
        <v>60000</v>
      </c>
      <c r="C17">
        <f t="shared" si="4"/>
        <v>140000</v>
      </c>
      <c r="D17">
        <f>44603.25+0.33*(J17-183250)</f>
        <v>48616.05</v>
      </c>
      <c r="E17">
        <f t="shared" si="0"/>
        <v>3720</v>
      </c>
      <c r="F17">
        <f t="shared" si="5"/>
        <v>870</v>
      </c>
      <c r="G17">
        <f t="shared" si="1"/>
        <v>3720</v>
      </c>
      <c r="H17">
        <f t="shared" si="6"/>
        <v>870</v>
      </c>
      <c r="I17">
        <v>0</v>
      </c>
      <c r="J17">
        <f t="shared" si="2"/>
        <v>195410</v>
      </c>
    </row>
    <row r="18" spans="1:10" x14ac:dyDescent="0.2">
      <c r="A18" s="2">
        <v>220000</v>
      </c>
      <c r="B18">
        <f t="shared" si="3"/>
        <v>66000</v>
      </c>
      <c r="C18">
        <f t="shared" si="4"/>
        <v>154000</v>
      </c>
      <c r="D18">
        <f t="shared" ref="D18:D27" si="9">44603.25+0.33*(J18-183250)</f>
        <v>55064.58</v>
      </c>
      <c r="E18">
        <f t="shared" si="0"/>
        <v>4092</v>
      </c>
      <c r="F18">
        <f t="shared" si="5"/>
        <v>957</v>
      </c>
      <c r="G18">
        <f t="shared" si="1"/>
        <v>4092</v>
      </c>
      <c r="H18">
        <f t="shared" si="6"/>
        <v>957</v>
      </c>
      <c r="I18">
        <v>0</v>
      </c>
      <c r="J18">
        <f t="shared" si="2"/>
        <v>214951</v>
      </c>
    </row>
    <row r="19" spans="1:10" x14ac:dyDescent="0.2">
      <c r="A19" s="2">
        <v>240000</v>
      </c>
      <c r="B19">
        <f t="shared" si="3"/>
        <v>72000</v>
      </c>
      <c r="C19">
        <f t="shared" si="4"/>
        <v>168000</v>
      </c>
      <c r="D19">
        <f t="shared" si="9"/>
        <v>61513.11</v>
      </c>
      <c r="E19">
        <f t="shared" si="0"/>
        <v>4464</v>
      </c>
      <c r="F19">
        <f t="shared" si="5"/>
        <v>1044</v>
      </c>
      <c r="G19">
        <f t="shared" si="1"/>
        <v>4464</v>
      </c>
      <c r="H19">
        <f t="shared" si="6"/>
        <v>1044</v>
      </c>
      <c r="I19">
        <v>0</v>
      </c>
      <c r="J19">
        <f t="shared" si="2"/>
        <v>234492</v>
      </c>
    </row>
    <row r="20" spans="1:10" x14ac:dyDescent="0.2">
      <c r="A20" s="2">
        <v>260000</v>
      </c>
      <c r="B20">
        <f t="shared" si="3"/>
        <v>78000</v>
      </c>
      <c r="C20">
        <f t="shared" si="4"/>
        <v>182000</v>
      </c>
      <c r="D20">
        <f t="shared" si="9"/>
        <v>67961.64</v>
      </c>
      <c r="E20">
        <f t="shared" si="0"/>
        <v>4836</v>
      </c>
      <c r="F20">
        <f t="shared" si="5"/>
        <v>1131</v>
      </c>
      <c r="G20">
        <f t="shared" si="1"/>
        <v>4836</v>
      </c>
      <c r="H20">
        <f t="shared" si="6"/>
        <v>1131</v>
      </c>
      <c r="I20">
        <v>0</v>
      </c>
      <c r="J20">
        <f t="shared" si="2"/>
        <v>254033</v>
      </c>
    </row>
    <row r="21" spans="1:10" x14ac:dyDescent="0.2">
      <c r="A21" s="2">
        <v>280000</v>
      </c>
      <c r="B21">
        <f t="shared" si="3"/>
        <v>84000</v>
      </c>
      <c r="C21">
        <f t="shared" si="4"/>
        <v>196000</v>
      </c>
      <c r="D21">
        <f t="shared" si="9"/>
        <v>74410.17</v>
      </c>
      <c r="E21">
        <f t="shared" si="0"/>
        <v>5208</v>
      </c>
      <c r="F21">
        <f t="shared" si="5"/>
        <v>1218</v>
      </c>
      <c r="G21">
        <f t="shared" si="1"/>
        <v>5208</v>
      </c>
      <c r="H21">
        <f t="shared" si="6"/>
        <v>1218</v>
      </c>
      <c r="I21">
        <v>0</v>
      </c>
      <c r="J21">
        <f t="shared" si="2"/>
        <v>273574</v>
      </c>
    </row>
    <row r="22" spans="1:10" x14ac:dyDescent="0.2">
      <c r="A22" s="2">
        <v>300000</v>
      </c>
      <c r="B22">
        <f t="shared" si="3"/>
        <v>90000</v>
      </c>
      <c r="C22">
        <f t="shared" si="4"/>
        <v>210000</v>
      </c>
      <c r="D22">
        <f t="shared" si="9"/>
        <v>80858.700000000012</v>
      </c>
      <c r="E22">
        <f t="shared" si="0"/>
        <v>5580</v>
      </c>
      <c r="F22">
        <f t="shared" si="5"/>
        <v>1305</v>
      </c>
      <c r="G22">
        <f t="shared" si="1"/>
        <v>5580</v>
      </c>
      <c r="H22">
        <f t="shared" si="6"/>
        <v>1305</v>
      </c>
      <c r="I22">
        <v>0</v>
      </c>
      <c r="J22">
        <f t="shared" si="2"/>
        <v>293115</v>
      </c>
    </row>
    <row r="23" spans="1:10" x14ac:dyDescent="0.2">
      <c r="A23" s="2">
        <v>320000</v>
      </c>
      <c r="B23">
        <f t="shared" si="3"/>
        <v>96000</v>
      </c>
      <c r="C23">
        <f t="shared" si="4"/>
        <v>224000</v>
      </c>
      <c r="D23">
        <f t="shared" si="9"/>
        <v>87307.23000000001</v>
      </c>
      <c r="E23">
        <f t="shared" si="0"/>
        <v>5952</v>
      </c>
      <c r="F23">
        <f t="shared" si="5"/>
        <v>1392</v>
      </c>
      <c r="G23">
        <f t="shared" si="1"/>
        <v>5952</v>
      </c>
      <c r="H23">
        <f t="shared" si="6"/>
        <v>1392</v>
      </c>
      <c r="I23">
        <v>0</v>
      </c>
      <c r="J23">
        <f t="shared" si="2"/>
        <v>312656</v>
      </c>
    </row>
    <row r="24" spans="1:10" x14ac:dyDescent="0.2">
      <c r="A24" s="2">
        <v>340000</v>
      </c>
      <c r="B24">
        <f t="shared" si="3"/>
        <v>102000</v>
      </c>
      <c r="C24">
        <f t="shared" si="4"/>
        <v>238000</v>
      </c>
      <c r="D24">
        <f t="shared" si="9"/>
        <v>93755.760000000009</v>
      </c>
      <c r="E24">
        <f t="shared" si="0"/>
        <v>6324</v>
      </c>
      <c r="F24">
        <f t="shared" si="5"/>
        <v>1479</v>
      </c>
      <c r="G24">
        <f t="shared" si="1"/>
        <v>6324</v>
      </c>
      <c r="H24">
        <f t="shared" si="6"/>
        <v>1479</v>
      </c>
      <c r="I24">
        <v>0</v>
      </c>
      <c r="J24">
        <f t="shared" si="2"/>
        <v>332197</v>
      </c>
    </row>
    <row r="25" spans="1:10" x14ac:dyDescent="0.2">
      <c r="A25" s="2">
        <v>360000</v>
      </c>
      <c r="B25">
        <f t="shared" si="3"/>
        <v>108000</v>
      </c>
      <c r="C25">
        <f t="shared" si="4"/>
        <v>252000</v>
      </c>
      <c r="D25">
        <f t="shared" si="9"/>
        <v>100204.29000000001</v>
      </c>
      <c r="E25">
        <f t="shared" si="0"/>
        <v>6696</v>
      </c>
      <c r="F25">
        <f t="shared" si="5"/>
        <v>1566</v>
      </c>
      <c r="G25">
        <f t="shared" si="1"/>
        <v>6696</v>
      </c>
      <c r="H25">
        <f t="shared" si="6"/>
        <v>1566</v>
      </c>
      <c r="I25">
        <v>0</v>
      </c>
      <c r="J25">
        <f t="shared" si="2"/>
        <v>351738</v>
      </c>
    </row>
    <row r="26" spans="1:10" x14ac:dyDescent="0.2">
      <c r="A26" s="2">
        <v>380000</v>
      </c>
      <c r="B26">
        <f t="shared" si="3"/>
        <v>114000</v>
      </c>
      <c r="C26">
        <f t="shared" si="4"/>
        <v>266000</v>
      </c>
      <c r="D26">
        <f t="shared" si="9"/>
        <v>106658.958</v>
      </c>
      <c r="E26">
        <f t="shared" ref="E26:E29" si="10">113700*0.062</f>
        <v>7049.4</v>
      </c>
      <c r="F26">
        <f t="shared" si="5"/>
        <v>1653</v>
      </c>
      <c r="G26">
        <f t="shared" ref="G26:G29" si="11">113700*0.062</f>
        <v>7049.4</v>
      </c>
      <c r="H26">
        <f t="shared" si="6"/>
        <v>1653</v>
      </c>
      <c r="I26">
        <v>0</v>
      </c>
      <c r="J26">
        <f t="shared" si="2"/>
        <v>371297.6</v>
      </c>
    </row>
    <row r="27" spans="1:10" x14ac:dyDescent="0.2">
      <c r="A27" s="2">
        <v>400000</v>
      </c>
      <c r="B27">
        <f t="shared" si="3"/>
        <v>120000</v>
      </c>
      <c r="C27">
        <f t="shared" si="4"/>
        <v>280000</v>
      </c>
      <c r="D27">
        <f t="shared" si="9"/>
        <v>113230.24799999999</v>
      </c>
      <c r="E27">
        <f t="shared" si="10"/>
        <v>7049.4</v>
      </c>
      <c r="F27">
        <f t="shared" si="5"/>
        <v>1740</v>
      </c>
      <c r="G27">
        <f t="shared" si="11"/>
        <v>7049.4</v>
      </c>
      <c r="H27">
        <f t="shared" si="6"/>
        <v>1740</v>
      </c>
      <c r="I27">
        <v>0</v>
      </c>
      <c r="J27">
        <f t="shared" si="2"/>
        <v>391210.6</v>
      </c>
    </row>
    <row r="28" spans="1:10" x14ac:dyDescent="0.2">
      <c r="A28" s="2">
        <v>420000</v>
      </c>
      <c r="B28">
        <f t="shared" si="3"/>
        <v>126000</v>
      </c>
      <c r="C28">
        <f t="shared" si="4"/>
        <v>294000</v>
      </c>
      <c r="D28">
        <f>116163.75+0.396*(J28-400000)</f>
        <v>120568.69559999999</v>
      </c>
      <c r="E28">
        <f t="shared" si="10"/>
        <v>7049.4</v>
      </c>
      <c r="F28">
        <f t="shared" si="5"/>
        <v>1827</v>
      </c>
      <c r="G28">
        <f t="shared" si="11"/>
        <v>7049.4</v>
      </c>
      <c r="H28">
        <f t="shared" si="6"/>
        <v>1827</v>
      </c>
      <c r="I28">
        <v>0</v>
      </c>
      <c r="J28">
        <f t="shared" si="2"/>
        <v>411123.6</v>
      </c>
    </row>
    <row r="29" spans="1:10" x14ac:dyDescent="0.2">
      <c r="A29" s="2">
        <v>440000</v>
      </c>
      <c r="B29">
        <f t="shared" si="3"/>
        <v>132000</v>
      </c>
      <c r="C29">
        <f t="shared" si="4"/>
        <v>308000</v>
      </c>
      <c r="D29">
        <f t="shared" ref="D29:D57" si="12">116163.75+0.396*(J29-400000)</f>
        <v>128454.24359999999</v>
      </c>
      <c r="E29">
        <f t="shared" si="10"/>
        <v>7049.4</v>
      </c>
      <c r="F29">
        <f t="shared" si="5"/>
        <v>1914</v>
      </c>
      <c r="G29">
        <f t="shared" si="11"/>
        <v>7049.4</v>
      </c>
      <c r="H29">
        <f t="shared" si="6"/>
        <v>1914</v>
      </c>
      <c r="I29">
        <v>0</v>
      </c>
      <c r="J29">
        <f t="shared" si="2"/>
        <v>431036.6</v>
      </c>
    </row>
    <row r="30" spans="1:10" x14ac:dyDescent="0.2">
      <c r="A30" s="2">
        <v>460000</v>
      </c>
      <c r="B30">
        <f t="shared" si="3"/>
        <v>138000</v>
      </c>
      <c r="C30">
        <f t="shared" si="4"/>
        <v>322000</v>
      </c>
      <c r="D30">
        <f t="shared" si="12"/>
        <v>136339.7916</v>
      </c>
      <c r="E30">
        <f t="shared" ref="E30:E57" si="13">113700*0.062</f>
        <v>7049.4</v>
      </c>
      <c r="F30">
        <f t="shared" si="5"/>
        <v>2001</v>
      </c>
      <c r="G30">
        <f t="shared" ref="G30:G57" si="14">113700*0.062</f>
        <v>7049.4</v>
      </c>
      <c r="H30">
        <f t="shared" si="6"/>
        <v>2001</v>
      </c>
      <c r="I30">
        <v>0</v>
      </c>
      <c r="J30">
        <f t="shared" si="2"/>
        <v>450949.6</v>
      </c>
    </row>
    <row r="31" spans="1:10" x14ac:dyDescent="0.2">
      <c r="A31" s="2">
        <v>480000</v>
      </c>
      <c r="B31">
        <f t="shared" si="3"/>
        <v>144000</v>
      </c>
      <c r="C31">
        <f t="shared" si="4"/>
        <v>336000</v>
      </c>
      <c r="D31">
        <f t="shared" si="12"/>
        <v>144225.33960000001</v>
      </c>
      <c r="E31">
        <f t="shared" si="13"/>
        <v>7049.4</v>
      </c>
      <c r="F31">
        <f t="shared" si="5"/>
        <v>2088</v>
      </c>
      <c r="G31">
        <f t="shared" si="14"/>
        <v>7049.4</v>
      </c>
      <c r="H31">
        <f t="shared" si="6"/>
        <v>2088</v>
      </c>
      <c r="I31">
        <v>0</v>
      </c>
      <c r="J31">
        <f t="shared" si="2"/>
        <v>470862.6</v>
      </c>
    </row>
    <row r="32" spans="1:10" x14ac:dyDescent="0.2">
      <c r="A32" s="2">
        <v>500000</v>
      </c>
      <c r="B32">
        <f t="shared" si="3"/>
        <v>150000</v>
      </c>
      <c r="C32">
        <f t="shared" si="4"/>
        <v>350000</v>
      </c>
      <c r="D32">
        <f t="shared" si="12"/>
        <v>152110.88759999999</v>
      </c>
      <c r="E32">
        <f t="shared" si="13"/>
        <v>7049.4</v>
      </c>
      <c r="F32">
        <f t="shared" si="5"/>
        <v>2175</v>
      </c>
      <c r="G32">
        <f t="shared" si="14"/>
        <v>7049.4</v>
      </c>
      <c r="H32">
        <f t="shared" si="6"/>
        <v>2175</v>
      </c>
      <c r="I32">
        <v>0</v>
      </c>
      <c r="J32">
        <f t="shared" si="2"/>
        <v>490775.6</v>
      </c>
    </row>
    <row r="33" spans="1:10" x14ac:dyDescent="0.2">
      <c r="A33" s="2">
        <v>520000</v>
      </c>
      <c r="B33">
        <f t="shared" si="3"/>
        <v>156000</v>
      </c>
      <c r="C33">
        <f t="shared" si="4"/>
        <v>364000</v>
      </c>
      <c r="D33">
        <f t="shared" si="12"/>
        <v>159996.4356</v>
      </c>
      <c r="E33">
        <f t="shared" si="13"/>
        <v>7049.4</v>
      </c>
      <c r="F33">
        <f t="shared" si="5"/>
        <v>2262</v>
      </c>
      <c r="G33">
        <f t="shared" si="14"/>
        <v>7049.4</v>
      </c>
      <c r="H33">
        <f t="shared" si="6"/>
        <v>2262</v>
      </c>
      <c r="I33">
        <v>0</v>
      </c>
      <c r="J33">
        <f t="shared" si="2"/>
        <v>510688.6</v>
      </c>
    </row>
    <row r="34" spans="1:10" x14ac:dyDescent="0.2">
      <c r="A34" s="2">
        <v>540000</v>
      </c>
      <c r="B34">
        <f t="shared" si="3"/>
        <v>162000</v>
      </c>
      <c r="C34">
        <f t="shared" si="4"/>
        <v>378000</v>
      </c>
      <c r="D34">
        <f t="shared" si="12"/>
        <v>167881.98359999998</v>
      </c>
      <c r="E34">
        <f t="shared" si="13"/>
        <v>7049.4</v>
      </c>
      <c r="F34">
        <f t="shared" si="5"/>
        <v>2349</v>
      </c>
      <c r="G34">
        <f t="shared" si="14"/>
        <v>7049.4</v>
      </c>
      <c r="H34">
        <f t="shared" si="6"/>
        <v>2349</v>
      </c>
      <c r="I34">
        <v>0</v>
      </c>
      <c r="J34">
        <f t="shared" si="2"/>
        <v>530601.6</v>
      </c>
    </row>
    <row r="35" spans="1:10" x14ac:dyDescent="0.2">
      <c r="A35" s="2">
        <v>560000</v>
      </c>
      <c r="B35">
        <f t="shared" si="3"/>
        <v>168000</v>
      </c>
      <c r="C35">
        <f t="shared" si="4"/>
        <v>392000</v>
      </c>
      <c r="D35">
        <f t="shared" si="12"/>
        <v>175767.53159999999</v>
      </c>
      <c r="E35">
        <f t="shared" si="13"/>
        <v>7049.4</v>
      </c>
      <c r="F35">
        <f t="shared" si="5"/>
        <v>2436</v>
      </c>
      <c r="G35">
        <f t="shared" si="14"/>
        <v>7049.4</v>
      </c>
      <c r="H35">
        <f t="shared" si="6"/>
        <v>2436</v>
      </c>
      <c r="I35">
        <v>0</v>
      </c>
      <c r="J35">
        <f t="shared" si="2"/>
        <v>550514.6</v>
      </c>
    </row>
    <row r="36" spans="1:10" x14ac:dyDescent="0.2">
      <c r="A36" s="2">
        <v>580000</v>
      </c>
      <c r="B36">
        <f t="shared" si="3"/>
        <v>174000</v>
      </c>
      <c r="C36">
        <f t="shared" si="4"/>
        <v>406000</v>
      </c>
      <c r="D36">
        <f t="shared" si="12"/>
        <v>183653.0796</v>
      </c>
      <c r="E36">
        <f t="shared" si="13"/>
        <v>7049.4</v>
      </c>
      <c r="F36">
        <f t="shared" si="5"/>
        <v>2523</v>
      </c>
      <c r="G36">
        <f t="shared" si="14"/>
        <v>7049.4</v>
      </c>
      <c r="H36">
        <f t="shared" si="6"/>
        <v>2523</v>
      </c>
      <c r="I36">
        <v>0</v>
      </c>
      <c r="J36">
        <f t="shared" si="2"/>
        <v>570427.6</v>
      </c>
    </row>
    <row r="37" spans="1:10" x14ac:dyDescent="0.2">
      <c r="A37" s="2">
        <v>600000</v>
      </c>
      <c r="B37">
        <f t="shared" si="3"/>
        <v>180000</v>
      </c>
      <c r="C37">
        <f t="shared" si="4"/>
        <v>420000</v>
      </c>
      <c r="D37">
        <f t="shared" si="12"/>
        <v>191538.62760000001</v>
      </c>
      <c r="E37">
        <f t="shared" si="13"/>
        <v>7049.4</v>
      </c>
      <c r="F37">
        <f t="shared" si="5"/>
        <v>2610</v>
      </c>
      <c r="G37">
        <f t="shared" si="14"/>
        <v>7049.4</v>
      </c>
      <c r="H37">
        <f t="shared" si="6"/>
        <v>2610</v>
      </c>
      <c r="I37">
        <v>0</v>
      </c>
      <c r="J37">
        <f t="shared" si="2"/>
        <v>590340.6</v>
      </c>
    </row>
    <row r="38" spans="1:10" x14ac:dyDescent="0.2">
      <c r="A38" s="2">
        <v>620000</v>
      </c>
      <c r="B38">
        <f t="shared" si="3"/>
        <v>186000</v>
      </c>
      <c r="C38">
        <f t="shared" si="4"/>
        <v>434000</v>
      </c>
      <c r="D38">
        <f t="shared" si="12"/>
        <v>199424.17559999999</v>
      </c>
      <c r="E38">
        <f t="shared" si="13"/>
        <v>7049.4</v>
      </c>
      <c r="F38">
        <f t="shared" si="5"/>
        <v>2697</v>
      </c>
      <c r="G38">
        <f t="shared" si="14"/>
        <v>7049.4</v>
      </c>
      <c r="H38">
        <f t="shared" si="6"/>
        <v>2697</v>
      </c>
      <c r="I38">
        <v>0</v>
      </c>
      <c r="J38">
        <f t="shared" si="2"/>
        <v>610253.6</v>
      </c>
    </row>
    <row r="39" spans="1:10" x14ac:dyDescent="0.2">
      <c r="A39" s="2">
        <v>640000</v>
      </c>
      <c r="B39">
        <f t="shared" si="3"/>
        <v>192000</v>
      </c>
      <c r="C39">
        <f t="shared" si="4"/>
        <v>448000</v>
      </c>
      <c r="D39">
        <f t="shared" si="12"/>
        <v>207309.7236</v>
      </c>
      <c r="E39">
        <f t="shared" si="13"/>
        <v>7049.4</v>
      </c>
      <c r="F39">
        <f t="shared" si="5"/>
        <v>2784</v>
      </c>
      <c r="G39">
        <f t="shared" si="14"/>
        <v>7049.4</v>
      </c>
      <c r="H39">
        <f t="shared" si="6"/>
        <v>2784</v>
      </c>
      <c r="I39">
        <v>0</v>
      </c>
      <c r="J39">
        <f t="shared" si="2"/>
        <v>630166.6</v>
      </c>
    </row>
    <row r="40" spans="1:10" x14ac:dyDescent="0.2">
      <c r="A40" s="2">
        <v>660000</v>
      </c>
      <c r="B40">
        <f t="shared" si="3"/>
        <v>198000</v>
      </c>
      <c r="C40">
        <f t="shared" si="4"/>
        <v>462000</v>
      </c>
      <c r="D40">
        <f t="shared" si="12"/>
        <v>215195.27159999998</v>
      </c>
      <c r="E40">
        <f t="shared" si="13"/>
        <v>7049.4</v>
      </c>
      <c r="F40">
        <f t="shared" si="5"/>
        <v>2871</v>
      </c>
      <c r="G40">
        <f t="shared" si="14"/>
        <v>7049.4</v>
      </c>
      <c r="H40">
        <f t="shared" si="6"/>
        <v>2871</v>
      </c>
      <c r="I40">
        <v>0</v>
      </c>
      <c r="J40">
        <f t="shared" si="2"/>
        <v>650079.6</v>
      </c>
    </row>
    <row r="41" spans="1:10" x14ac:dyDescent="0.2">
      <c r="A41" s="2">
        <v>680000</v>
      </c>
      <c r="B41">
        <f t="shared" si="3"/>
        <v>204000</v>
      </c>
      <c r="C41">
        <f t="shared" si="4"/>
        <v>476000</v>
      </c>
      <c r="D41">
        <f t="shared" si="12"/>
        <v>223080.81959999999</v>
      </c>
      <c r="E41">
        <f t="shared" si="13"/>
        <v>7049.4</v>
      </c>
      <c r="F41">
        <f t="shared" si="5"/>
        <v>2958</v>
      </c>
      <c r="G41">
        <f t="shared" si="14"/>
        <v>7049.4</v>
      </c>
      <c r="H41">
        <f t="shared" si="6"/>
        <v>2958</v>
      </c>
      <c r="I41">
        <f t="shared" ref="I41:I46" si="15">(B41-200000)*0.009</f>
        <v>36</v>
      </c>
      <c r="J41">
        <f t="shared" si="2"/>
        <v>669992.6</v>
      </c>
    </row>
    <row r="42" spans="1:10" x14ac:dyDescent="0.2">
      <c r="A42" s="2">
        <v>700000</v>
      </c>
      <c r="B42">
        <f t="shared" si="3"/>
        <v>210000</v>
      </c>
      <c r="C42">
        <f t="shared" si="4"/>
        <v>490000</v>
      </c>
      <c r="D42">
        <f t="shared" si="12"/>
        <v>230966.3676</v>
      </c>
      <c r="E42">
        <f t="shared" si="13"/>
        <v>7049.4</v>
      </c>
      <c r="F42">
        <f t="shared" si="5"/>
        <v>3045</v>
      </c>
      <c r="G42">
        <f t="shared" si="14"/>
        <v>7049.4</v>
      </c>
      <c r="H42">
        <f t="shared" si="6"/>
        <v>3045</v>
      </c>
      <c r="I42">
        <f t="shared" si="15"/>
        <v>90</v>
      </c>
      <c r="J42">
        <f t="shared" si="2"/>
        <v>689905.6</v>
      </c>
    </row>
    <row r="43" spans="1:10" x14ac:dyDescent="0.2">
      <c r="A43" s="2">
        <v>720000</v>
      </c>
      <c r="B43">
        <f t="shared" si="3"/>
        <v>216000</v>
      </c>
      <c r="C43">
        <f t="shared" si="4"/>
        <v>504000</v>
      </c>
      <c r="D43">
        <f t="shared" si="12"/>
        <v>238851.91560000001</v>
      </c>
      <c r="E43">
        <f t="shared" si="13"/>
        <v>7049.4</v>
      </c>
      <c r="F43">
        <f t="shared" si="5"/>
        <v>3132</v>
      </c>
      <c r="G43">
        <f t="shared" si="14"/>
        <v>7049.4</v>
      </c>
      <c r="H43">
        <f t="shared" si="6"/>
        <v>3132</v>
      </c>
      <c r="I43">
        <f t="shared" si="15"/>
        <v>144</v>
      </c>
      <c r="J43">
        <f t="shared" si="2"/>
        <v>709818.6</v>
      </c>
    </row>
    <row r="44" spans="1:10" x14ac:dyDescent="0.2">
      <c r="A44" s="2">
        <v>740000</v>
      </c>
      <c r="B44">
        <f t="shared" si="3"/>
        <v>222000</v>
      </c>
      <c r="C44">
        <f t="shared" si="4"/>
        <v>518000</v>
      </c>
      <c r="D44">
        <f t="shared" si="12"/>
        <v>246737.46360000002</v>
      </c>
      <c r="E44">
        <f t="shared" si="13"/>
        <v>7049.4</v>
      </c>
      <c r="F44">
        <f t="shared" si="5"/>
        <v>3219</v>
      </c>
      <c r="G44">
        <f t="shared" si="14"/>
        <v>7049.4</v>
      </c>
      <c r="H44">
        <f t="shared" si="6"/>
        <v>3219</v>
      </c>
      <c r="I44">
        <f t="shared" si="15"/>
        <v>197.99999999999997</v>
      </c>
      <c r="J44">
        <f t="shared" si="2"/>
        <v>729731.6</v>
      </c>
    </row>
    <row r="45" spans="1:10" x14ac:dyDescent="0.2">
      <c r="A45" s="2">
        <v>760000</v>
      </c>
      <c r="B45">
        <f t="shared" si="3"/>
        <v>228000</v>
      </c>
      <c r="C45">
        <f t="shared" si="4"/>
        <v>532000</v>
      </c>
      <c r="D45">
        <f t="shared" si="12"/>
        <v>254623.0116</v>
      </c>
      <c r="E45">
        <f t="shared" si="13"/>
        <v>7049.4</v>
      </c>
      <c r="F45">
        <f t="shared" si="5"/>
        <v>3306</v>
      </c>
      <c r="G45">
        <f t="shared" si="14"/>
        <v>7049.4</v>
      </c>
      <c r="H45">
        <f t="shared" si="6"/>
        <v>3306</v>
      </c>
      <c r="I45">
        <f t="shared" si="15"/>
        <v>251.99999999999997</v>
      </c>
      <c r="J45">
        <f t="shared" si="2"/>
        <v>749644.6</v>
      </c>
    </row>
    <row r="46" spans="1:10" x14ac:dyDescent="0.2">
      <c r="A46" s="2">
        <v>780000</v>
      </c>
      <c r="B46">
        <f t="shared" si="3"/>
        <v>234000</v>
      </c>
      <c r="C46">
        <f t="shared" si="4"/>
        <v>546000</v>
      </c>
      <c r="D46">
        <f t="shared" si="12"/>
        <v>262508.55960000004</v>
      </c>
      <c r="E46">
        <f t="shared" si="13"/>
        <v>7049.4</v>
      </c>
      <c r="F46">
        <f t="shared" si="5"/>
        <v>3393</v>
      </c>
      <c r="G46">
        <f t="shared" si="14"/>
        <v>7049.4</v>
      </c>
      <c r="H46">
        <f t="shared" si="6"/>
        <v>3393</v>
      </c>
      <c r="I46">
        <f t="shared" si="15"/>
        <v>306</v>
      </c>
      <c r="J46">
        <f t="shared" si="2"/>
        <v>769557.6</v>
      </c>
    </row>
    <row r="47" spans="1:10" x14ac:dyDescent="0.2">
      <c r="A47" s="2">
        <v>800000</v>
      </c>
      <c r="B47">
        <f t="shared" si="3"/>
        <v>240000</v>
      </c>
      <c r="C47">
        <f t="shared" si="4"/>
        <v>560000</v>
      </c>
      <c r="D47">
        <f t="shared" si="12"/>
        <v>270394.10759999999</v>
      </c>
      <c r="E47">
        <f t="shared" si="13"/>
        <v>7049.4</v>
      </c>
      <c r="F47">
        <f t="shared" si="5"/>
        <v>3480</v>
      </c>
      <c r="G47">
        <f t="shared" si="14"/>
        <v>7049.4</v>
      </c>
      <c r="H47">
        <f t="shared" si="6"/>
        <v>3480</v>
      </c>
      <c r="I47">
        <f>(B47-200000)*0.009</f>
        <v>360</v>
      </c>
      <c r="J47">
        <f t="shared" si="2"/>
        <v>789470.6</v>
      </c>
    </row>
    <row r="48" spans="1:10" x14ac:dyDescent="0.2">
      <c r="A48" s="2">
        <v>820000</v>
      </c>
      <c r="B48">
        <f t="shared" si="3"/>
        <v>246000</v>
      </c>
      <c r="C48">
        <f t="shared" si="4"/>
        <v>574000</v>
      </c>
      <c r="D48">
        <f t="shared" si="12"/>
        <v>278279.6556</v>
      </c>
      <c r="E48">
        <f t="shared" si="13"/>
        <v>7049.4</v>
      </c>
      <c r="F48">
        <f t="shared" si="5"/>
        <v>3567</v>
      </c>
      <c r="G48">
        <f t="shared" si="14"/>
        <v>7049.4</v>
      </c>
      <c r="H48">
        <f t="shared" si="6"/>
        <v>3567</v>
      </c>
      <c r="I48">
        <f t="shared" ref="I48:I57" si="16">(B48-200000)*0.009</f>
        <v>413.99999999999994</v>
      </c>
      <c r="J48">
        <f t="shared" si="2"/>
        <v>809383.6</v>
      </c>
    </row>
    <row r="49" spans="1:10" x14ac:dyDescent="0.2">
      <c r="A49" s="2">
        <v>840000</v>
      </c>
      <c r="B49">
        <f t="shared" si="3"/>
        <v>252000</v>
      </c>
      <c r="C49">
        <f t="shared" si="4"/>
        <v>588000</v>
      </c>
      <c r="D49">
        <f t="shared" si="12"/>
        <v>286165.20360000001</v>
      </c>
      <c r="E49">
        <f t="shared" si="13"/>
        <v>7049.4</v>
      </c>
      <c r="F49">
        <f t="shared" si="5"/>
        <v>3654</v>
      </c>
      <c r="G49">
        <f t="shared" si="14"/>
        <v>7049.4</v>
      </c>
      <c r="H49">
        <f t="shared" si="6"/>
        <v>3654</v>
      </c>
      <c r="I49">
        <f t="shared" si="16"/>
        <v>467.99999999999994</v>
      </c>
      <c r="J49">
        <f t="shared" si="2"/>
        <v>829296.6</v>
      </c>
    </row>
    <row r="50" spans="1:10" x14ac:dyDescent="0.2">
      <c r="A50" s="2">
        <v>860000</v>
      </c>
      <c r="B50">
        <f t="shared" si="3"/>
        <v>258000</v>
      </c>
      <c r="C50">
        <f t="shared" si="4"/>
        <v>602000</v>
      </c>
      <c r="D50">
        <f t="shared" si="12"/>
        <v>294050.75159999996</v>
      </c>
      <c r="E50">
        <f t="shared" si="13"/>
        <v>7049.4</v>
      </c>
      <c r="F50">
        <f t="shared" si="5"/>
        <v>3741</v>
      </c>
      <c r="G50">
        <f t="shared" si="14"/>
        <v>7049.4</v>
      </c>
      <c r="H50">
        <f t="shared" si="6"/>
        <v>3741</v>
      </c>
      <c r="I50">
        <f t="shared" si="16"/>
        <v>522</v>
      </c>
      <c r="J50">
        <f t="shared" si="2"/>
        <v>849209.6</v>
      </c>
    </row>
    <row r="51" spans="1:10" x14ac:dyDescent="0.2">
      <c r="A51" s="2">
        <v>880000</v>
      </c>
      <c r="B51">
        <f t="shared" si="3"/>
        <v>264000</v>
      </c>
      <c r="C51">
        <f t="shared" si="4"/>
        <v>616000</v>
      </c>
      <c r="D51">
        <f t="shared" si="12"/>
        <v>301936.29960000003</v>
      </c>
      <c r="E51">
        <f t="shared" si="13"/>
        <v>7049.4</v>
      </c>
      <c r="F51">
        <f t="shared" si="5"/>
        <v>3828</v>
      </c>
      <c r="G51">
        <f t="shared" si="14"/>
        <v>7049.4</v>
      </c>
      <c r="H51">
        <f t="shared" si="6"/>
        <v>3828</v>
      </c>
      <c r="I51">
        <f t="shared" si="16"/>
        <v>576</v>
      </c>
      <c r="J51">
        <f t="shared" si="2"/>
        <v>869122.6</v>
      </c>
    </row>
    <row r="52" spans="1:10" x14ac:dyDescent="0.2">
      <c r="A52" s="2">
        <v>900000</v>
      </c>
      <c r="B52">
        <f t="shared" si="3"/>
        <v>270000</v>
      </c>
      <c r="C52">
        <f t="shared" si="4"/>
        <v>630000</v>
      </c>
      <c r="D52">
        <f t="shared" si="12"/>
        <v>309821.84759999998</v>
      </c>
      <c r="E52">
        <f t="shared" si="13"/>
        <v>7049.4</v>
      </c>
      <c r="F52">
        <f t="shared" si="5"/>
        <v>3915</v>
      </c>
      <c r="G52">
        <f t="shared" si="14"/>
        <v>7049.4</v>
      </c>
      <c r="H52">
        <f t="shared" si="6"/>
        <v>3915</v>
      </c>
      <c r="I52">
        <f t="shared" si="16"/>
        <v>630</v>
      </c>
      <c r="J52">
        <f t="shared" si="2"/>
        <v>889035.6</v>
      </c>
    </row>
    <row r="53" spans="1:10" x14ac:dyDescent="0.2">
      <c r="A53" s="2">
        <v>920000</v>
      </c>
      <c r="B53">
        <f t="shared" si="3"/>
        <v>276000</v>
      </c>
      <c r="C53">
        <f t="shared" si="4"/>
        <v>644000</v>
      </c>
      <c r="D53">
        <f t="shared" si="12"/>
        <v>317707.39559999999</v>
      </c>
      <c r="E53">
        <f t="shared" si="13"/>
        <v>7049.4</v>
      </c>
      <c r="F53">
        <f t="shared" si="5"/>
        <v>4002</v>
      </c>
      <c r="G53">
        <f t="shared" si="14"/>
        <v>7049.4</v>
      </c>
      <c r="H53">
        <f t="shared" si="6"/>
        <v>4002</v>
      </c>
      <c r="I53">
        <f t="shared" si="16"/>
        <v>684</v>
      </c>
      <c r="J53">
        <f t="shared" si="2"/>
        <v>908948.6</v>
      </c>
    </row>
    <row r="54" spans="1:10" x14ac:dyDescent="0.2">
      <c r="A54" s="2">
        <v>940000</v>
      </c>
      <c r="B54">
        <f t="shared" si="3"/>
        <v>282000</v>
      </c>
      <c r="C54">
        <f t="shared" si="4"/>
        <v>658000</v>
      </c>
      <c r="D54">
        <f t="shared" si="12"/>
        <v>325592.9436</v>
      </c>
      <c r="E54">
        <f t="shared" si="13"/>
        <v>7049.4</v>
      </c>
      <c r="F54">
        <f t="shared" si="5"/>
        <v>4089</v>
      </c>
      <c r="G54">
        <f t="shared" si="14"/>
        <v>7049.4</v>
      </c>
      <c r="H54">
        <f t="shared" si="6"/>
        <v>4089</v>
      </c>
      <c r="I54">
        <f t="shared" si="16"/>
        <v>738</v>
      </c>
      <c r="J54">
        <f t="shared" si="2"/>
        <v>928861.6</v>
      </c>
    </row>
    <row r="55" spans="1:10" x14ac:dyDescent="0.2">
      <c r="A55" s="2">
        <v>960000</v>
      </c>
      <c r="B55">
        <f t="shared" si="3"/>
        <v>288000</v>
      </c>
      <c r="C55">
        <f t="shared" si="4"/>
        <v>672000</v>
      </c>
      <c r="D55">
        <f t="shared" si="12"/>
        <v>333478.49160000001</v>
      </c>
      <c r="E55">
        <f t="shared" si="13"/>
        <v>7049.4</v>
      </c>
      <c r="F55">
        <f t="shared" si="5"/>
        <v>4176</v>
      </c>
      <c r="G55">
        <f t="shared" si="14"/>
        <v>7049.4</v>
      </c>
      <c r="H55">
        <f t="shared" si="6"/>
        <v>4176</v>
      </c>
      <c r="I55">
        <f t="shared" si="16"/>
        <v>791.99999999999989</v>
      </c>
      <c r="J55">
        <f t="shared" si="2"/>
        <v>948774.6</v>
      </c>
    </row>
    <row r="56" spans="1:10" x14ac:dyDescent="0.2">
      <c r="A56" s="2">
        <v>980000</v>
      </c>
      <c r="B56">
        <f t="shared" si="3"/>
        <v>294000</v>
      </c>
      <c r="C56">
        <f t="shared" si="4"/>
        <v>686000</v>
      </c>
      <c r="D56">
        <f t="shared" si="12"/>
        <v>341364.03960000002</v>
      </c>
      <c r="E56">
        <f t="shared" si="13"/>
        <v>7049.4</v>
      </c>
      <c r="F56">
        <f t="shared" si="5"/>
        <v>4263</v>
      </c>
      <c r="G56">
        <f t="shared" si="14"/>
        <v>7049.4</v>
      </c>
      <c r="H56">
        <f t="shared" si="6"/>
        <v>4263</v>
      </c>
      <c r="I56">
        <f t="shared" si="16"/>
        <v>845.99999999999989</v>
      </c>
      <c r="J56">
        <f t="shared" si="2"/>
        <v>968687.6</v>
      </c>
    </row>
    <row r="57" spans="1:10" x14ac:dyDescent="0.2">
      <c r="A57" s="2">
        <v>1000000</v>
      </c>
      <c r="B57">
        <f t="shared" si="3"/>
        <v>300000</v>
      </c>
      <c r="C57">
        <f t="shared" si="4"/>
        <v>700000</v>
      </c>
      <c r="D57">
        <f t="shared" si="12"/>
        <v>349249.58759999997</v>
      </c>
      <c r="E57">
        <f t="shared" si="13"/>
        <v>7049.4</v>
      </c>
      <c r="F57">
        <f t="shared" si="5"/>
        <v>4350</v>
      </c>
      <c r="G57">
        <f t="shared" si="14"/>
        <v>7049.4</v>
      </c>
      <c r="H57">
        <f t="shared" si="6"/>
        <v>4350</v>
      </c>
      <c r="I57">
        <f t="shared" si="16"/>
        <v>899.99999999999989</v>
      </c>
      <c r="J57">
        <f t="shared" si="2"/>
        <v>988600.6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8"/>
  <sheetViews>
    <sheetView topLeftCell="H1" workbookViewId="0">
      <selection activeCell="U90" sqref="U90"/>
    </sheetView>
  </sheetViews>
  <sheetFormatPr defaultColWidth="11.42578125" defaultRowHeight="12.75" x14ac:dyDescent="0.2"/>
  <cols>
    <col min="20" max="20" width="11.42578125" style="4"/>
  </cols>
  <sheetData>
    <row r="1" spans="1:22" x14ac:dyDescent="0.2">
      <c r="A1" t="s">
        <v>28</v>
      </c>
      <c r="O1" t="s">
        <v>21</v>
      </c>
      <c r="U1" t="s">
        <v>21</v>
      </c>
    </row>
    <row r="3" spans="1:22" x14ac:dyDescent="0.2">
      <c r="A3" t="s">
        <v>5</v>
      </c>
    </row>
    <row r="4" spans="1:22" x14ac:dyDescent="0.2">
      <c r="A4" t="s">
        <v>6</v>
      </c>
    </row>
    <row r="6" spans="1:22" ht="51.95" customHeight="1" x14ac:dyDescent="0.2">
      <c r="A6" s="1" t="s">
        <v>4</v>
      </c>
      <c r="B6" s="1" t="s">
        <v>8</v>
      </c>
      <c r="C6" s="3" t="s">
        <v>14</v>
      </c>
      <c r="D6" s="1" t="s">
        <v>15</v>
      </c>
      <c r="E6" s="1" t="s">
        <v>16</v>
      </c>
      <c r="F6" s="1" t="s">
        <v>17</v>
      </c>
      <c r="G6" s="1" t="s">
        <v>18</v>
      </c>
      <c r="H6" s="1" t="s">
        <v>10</v>
      </c>
      <c r="I6" s="1" t="s">
        <v>12</v>
      </c>
      <c r="J6" s="1" t="s">
        <v>20</v>
      </c>
      <c r="K6" s="1" t="s">
        <v>11</v>
      </c>
      <c r="L6" s="1" t="s">
        <v>13</v>
      </c>
      <c r="M6" s="1" t="s">
        <v>19</v>
      </c>
      <c r="N6" s="1" t="s">
        <v>29</v>
      </c>
      <c r="O6" s="1" t="s">
        <v>4</v>
      </c>
      <c r="P6" s="1" t="s">
        <v>26</v>
      </c>
      <c r="Q6" s="1" t="s">
        <v>24</v>
      </c>
      <c r="R6" s="1" t="s">
        <v>23</v>
      </c>
      <c r="S6" s="1" t="s">
        <v>25</v>
      </c>
      <c r="T6" s="5" t="s">
        <v>22</v>
      </c>
      <c r="U6" t="s">
        <v>4</v>
      </c>
      <c r="V6" s="1" t="s">
        <v>27</v>
      </c>
    </row>
    <row r="7" spans="1:22" x14ac:dyDescent="0.2">
      <c r="A7">
        <v>0</v>
      </c>
      <c r="B7">
        <f>0.25*A7</f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f>H7+I7</f>
        <v>0</v>
      </c>
      <c r="K7">
        <v>0</v>
      </c>
      <c r="L7">
        <v>0</v>
      </c>
      <c r="M7">
        <f>K7+L7</f>
        <v>0</v>
      </c>
      <c r="N7">
        <v>0</v>
      </c>
      <c r="O7">
        <v>0</v>
      </c>
      <c r="P7">
        <f>C7-D7</f>
        <v>0</v>
      </c>
      <c r="Q7">
        <f>E7-J7</f>
        <v>0</v>
      </c>
      <c r="R7">
        <f>F7-M7</f>
        <v>0</v>
      </c>
      <c r="S7">
        <f>G7-N7</f>
        <v>0</v>
      </c>
      <c r="T7" s="4">
        <f>P7+Q7+R7+S7</f>
        <v>0</v>
      </c>
      <c r="U7">
        <f>O7/1000</f>
        <v>0</v>
      </c>
      <c r="V7" s="6" t="s">
        <v>2</v>
      </c>
    </row>
    <row r="8" spans="1:22" x14ac:dyDescent="0.2">
      <c r="A8" s="2">
        <v>20000</v>
      </c>
      <c r="B8">
        <f t="shared" ref="B8:B57" si="0">0.25*A8</f>
        <v>5000</v>
      </c>
      <c r="C8" s="2">
        <v>2341.8067499999997</v>
      </c>
      <c r="D8">
        <v>2484.8999999999996</v>
      </c>
      <c r="E8">
        <v>2290.2800000000002</v>
      </c>
      <c r="F8">
        <v>535.63</v>
      </c>
      <c r="G8">
        <v>0</v>
      </c>
      <c r="H8">
        <v>372</v>
      </c>
      <c r="I8">
        <v>372</v>
      </c>
      <c r="J8">
        <f t="shared" ref="J8:J57" si="1">H8+I8</f>
        <v>744</v>
      </c>
      <c r="K8">
        <v>87</v>
      </c>
      <c r="L8">
        <v>87</v>
      </c>
      <c r="M8">
        <f t="shared" ref="M8:M57" si="2">K8+L8</f>
        <v>174</v>
      </c>
      <c r="N8">
        <v>0</v>
      </c>
      <c r="O8" s="2">
        <v>20000</v>
      </c>
      <c r="P8">
        <f t="shared" ref="P8:P57" si="3">C8-D8</f>
        <v>-143.0932499999999</v>
      </c>
      <c r="Q8">
        <f t="shared" ref="Q8:Q57" si="4">E8-J8</f>
        <v>1546.2800000000002</v>
      </c>
      <c r="R8">
        <f t="shared" ref="R8:S57" si="5">F8-M8</f>
        <v>361.63</v>
      </c>
      <c r="S8">
        <f t="shared" si="5"/>
        <v>0</v>
      </c>
      <c r="T8" s="4">
        <f t="shared" ref="T8:T57" si="6">P8+Q8+R8+S8</f>
        <v>1764.8167500000004</v>
      </c>
      <c r="U8">
        <f t="shared" ref="U8:U58" si="7">O8/1000</f>
        <v>20</v>
      </c>
      <c r="V8" s="6">
        <f t="shared" ref="V8:V57" si="8">T8/A8</f>
        <v>8.8240837500000016E-2</v>
      </c>
    </row>
    <row r="9" spans="1:22" x14ac:dyDescent="0.2">
      <c r="A9" s="2">
        <v>40000</v>
      </c>
      <c r="B9">
        <f t="shared" si="0"/>
        <v>10000</v>
      </c>
      <c r="C9" s="2">
        <v>5222.2724999999991</v>
      </c>
      <c r="D9">
        <v>5699.25</v>
      </c>
      <c r="E9">
        <v>4580.5600000000004</v>
      </c>
      <c r="F9">
        <v>1071.26</v>
      </c>
      <c r="G9">
        <v>0</v>
      </c>
      <c r="H9">
        <v>744</v>
      </c>
      <c r="I9">
        <v>744</v>
      </c>
      <c r="J9">
        <f t="shared" si="1"/>
        <v>1488</v>
      </c>
      <c r="K9">
        <v>174</v>
      </c>
      <c r="L9">
        <v>174</v>
      </c>
      <c r="M9">
        <f t="shared" si="2"/>
        <v>348</v>
      </c>
      <c r="N9">
        <v>0</v>
      </c>
      <c r="O9" s="2">
        <v>40000</v>
      </c>
      <c r="P9">
        <f t="shared" si="3"/>
        <v>-476.97750000000087</v>
      </c>
      <c r="Q9">
        <f t="shared" si="4"/>
        <v>3092.5600000000004</v>
      </c>
      <c r="R9">
        <f t="shared" si="5"/>
        <v>723.26</v>
      </c>
      <c r="S9">
        <f t="shared" si="5"/>
        <v>0</v>
      </c>
      <c r="T9" s="4">
        <f t="shared" si="6"/>
        <v>3338.8424999999997</v>
      </c>
      <c r="U9">
        <f t="shared" si="7"/>
        <v>40</v>
      </c>
      <c r="V9" s="6">
        <f t="shared" si="8"/>
        <v>8.3471062499999998E-2</v>
      </c>
    </row>
    <row r="10" spans="1:22" x14ac:dyDescent="0.2">
      <c r="A10" s="2">
        <v>60000</v>
      </c>
      <c r="B10">
        <f t="shared" si="0"/>
        <v>15000</v>
      </c>
      <c r="C10" s="2">
        <v>9869.0337500000005</v>
      </c>
      <c r="D10">
        <v>10584.5</v>
      </c>
      <c r="E10">
        <v>6870.84</v>
      </c>
      <c r="F10">
        <v>1606.89</v>
      </c>
      <c r="G10">
        <v>0</v>
      </c>
      <c r="H10">
        <v>1116</v>
      </c>
      <c r="I10">
        <v>1116</v>
      </c>
      <c r="J10">
        <f t="shared" si="1"/>
        <v>2232</v>
      </c>
      <c r="K10">
        <v>261</v>
      </c>
      <c r="L10">
        <v>261</v>
      </c>
      <c r="M10">
        <f t="shared" si="2"/>
        <v>522</v>
      </c>
      <c r="N10">
        <v>0</v>
      </c>
      <c r="O10" s="2">
        <v>60000</v>
      </c>
      <c r="P10">
        <f t="shared" si="3"/>
        <v>-715.46624999999949</v>
      </c>
      <c r="Q10">
        <f t="shared" si="4"/>
        <v>4638.84</v>
      </c>
      <c r="R10">
        <f t="shared" si="5"/>
        <v>1084.8900000000001</v>
      </c>
      <c r="S10">
        <f t="shared" si="5"/>
        <v>0</v>
      </c>
      <c r="T10" s="4">
        <f t="shared" si="6"/>
        <v>5008.263750000001</v>
      </c>
      <c r="U10">
        <f t="shared" si="7"/>
        <v>60</v>
      </c>
      <c r="V10" s="6">
        <f t="shared" si="8"/>
        <v>8.3471062500000012E-2</v>
      </c>
    </row>
    <row r="11" spans="1:22" x14ac:dyDescent="0.2">
      <c r="A11" s="2">
        <v>80000</v>
      </c>
      <c r="B11">
        <f t="shared" si="0"/>
        <v>20000</v>
      </c>
      <c r="C11" s="2">
        <v>14515.794999999998</v>
      </c>
      <c r="D11">
        <v>15469.75</v>
      </c>
      <c r="E11">
        <v>9161.1200000000008</v>
      </c>
      <c r="F11">
        <v>2142.52</v>
      </c>
      <c r="G11">
        <v>0</v>
      </c>
      <c r="H11">
        <v>1488</v>
      </c>
      <c r="I11">
        <v>1488</v>
      </c>
      <c r="J11">
        <f t="shared" si="1"/>
        <v>2976</v>
      </c>
      <c r="K11">
        <v>348</v>
      </c>
      <c r="L11">
        <v>348</v>
      </c>
      <c r="M11">
        <f t="shared" si="2"/>
        <v>696</v>
      </c>
      <c r="N11">
        <v>0</v>
      </c>
      <c r="O11" s="2">
        <v>80000</v>
      </c>
      <c r="P11">
        <f t="shared" si="3"/>
        <v>-953.95500000000175</v>
      </c>
      <c r="Q11">
        <f t="shared" si="4"/>
        <v>6185.1200000000008</v>
      </c>
      <c r="R11">
        <f t="shared" si="5"/>
        <v>1446.52</v>
      </c>
      <c r="S11">
        <f t="shared" si="5"/>
        <v>0</v>
      </c>
      <c r="T11" s="4">
        <f t="shared" si="6"/>
        <v>6677.6849999999995</v>
      </c>
      <c r="U11">
        <f t="shared" si="7"/>
        <v>80</v>
      </c>
      <c r="V11" s="6">
        <f t="shared" si="8"/>
        <v>8.3471062499999998E-2</v>
      </c>
    </row>
    <row r="12" spans="1:22" x14ac:dyDescent="0.2">
      <c r="A12" s="2">
        <v>100000</v>
      </c>
      <c r="B12">
        <f t="shared" si="0"/>
        <v>25000</v>
      </c>
      <c r="C12" s="2">
        <v>19315.113000000001</v>
      </c>
      <c r="D12">
        <v>20650.650000000001</v>
      </c>
      <c r="E12">
        <v>11451.4</v>
      </c>
      <c r="F12">
        <v>2678.15</v>
      </c>
      <c r="G12">
        <v>0</v>
      </c>
      <c r="H12">
        <v>1860</v>
      </c>
      <c r="I12">
        <v>1860</v>
      </c>
      <c r="J12">
        <f t="shared" si="1"/>
        <v>3720</v>
      </c>
      <c r="K12">
        <v>435</v>
      </c>
      <c r="L12">
        <v>435</v>
      </c>
      <c r="M12">
        <f t="shared" si="2"/>
        <v>870</v>
      </c>
      <c r="N12">
        <v>0</v>
      </c>
      <c r="O12" s="2">
        <v>100000</v>
      </c>
      <c r="P12">
        <f t="shared" si="3"/>
        <v>-1335.5370000000003</v>
      </c>
      <c r="Q12">
        <f t="shared" si="4"/>
        <v>7731.4</v>
      </c>
      <c r="R12">
        <f t="shared" si="5"/>
        <v>1808.15</v>
      </c>
      <c r="S12">
        <f t="shared" si="5"/>
        <v>0</v>
      </c>
      <c r="T12" s="4">
        <f t="shared" si="6"/>
        <v>8204.012999999999</v>
      </c>
      <c r="U12">
        <f t="shared" si="7"/>
        <v>100</v>
      </c>
      <c r="V12" s="6">
        <f t="shared" si="8"/>
        <v>8.2040129999999989E-2</v>
      </c>
    </row>
    <row r="13" spans="1:22" x14ac:dyDescent="0.2">
      <c r="A13" s="2">
        <v>120000</v>
      </c>
      <c r="B13">
        <f t="shared" si="0"/>
        <v>30000</v>
      </c>
      <c r="C13" s="2">
        <v>24519.4856</v>
      </c>
      <c r="D13">
        <v>26122.13</v>
      </c>
      <c r="E13">
        <v>13741.68</v>
      </c>
      <c r="F13">
        <v>3213.78</v>
      </c>
      <c r="G13">
        <v>0</v>
      </c>
      <c r="H13">
        <v>2232</v>
      </c>
      <c r="I13">
        <v>2232</v>
      </c>
      <c r="J13">
        <f t="shared" si="1"/>
        <v>4464</v>
      </c>
      <c r="K13">
        <v>522</v>
      </c>
      <c r="L13">
        <v>522</v>
      </c>
      <c r="M13">
        <f t="shared" si="2"/>
        <v>1044</v>
      </c>
      <c r="N13">
        <v>0</v>
      </c>
      <c r="O13" s="2">
        <v>120000</v>
      </c>
      <c r="P13">
        <f t="shared" si="3"/>
        <v>-1602.644400000001</v>
      </c>
      <c r="Q13">
        <f t="shared" si="4"/>
        <v>9277.68</v>
      </c>
      <c r="R13">
        <f t="shared" si="5"/>
        <v>2169.7800000000002</v>
      </c>
      <c r="S13">
        <f t="shared" si="5"/>
        <v>0</v>
      </c>
      <c r="T13" s="4">
        <f t="shared" si="6"/>
        <v>9844.8155999999999</v>
      </c>
      <c r="U13">
        <f t="shared" si="7"/>
        <v>120</v>
      </c>
      <c r="V13" s="6">
        <f t="shared" si="8"/>
        <v>8.2040130000000003E-2</v>
      </c>
    </row>
    <row r="14" spans="1:22" x14ac:dyDescent="0.2">
      <c r="A14" s="2">
        <v>140000</v>
      </c>
      <c r="B14">
        <f t="shared" si="0"/>
        <v>35000</v>
      </c>
      <c r="C14" s="2">
        <v>29994.500599999999</v>
      </c>
      <c r="D14">
        <v>31593.61</v>
      </c>
      <c r="E14">
        <v>14098.8</v>
      </c>
      <c r="F14">
        <v>3749.4100000000003</v>
      </c>
      <c r="G14">
        <v>0</v>
      </c>
      <c r="H14">
        <v>2604</v>
      </c>
      <c r="I14">
        <v>2604</v>
      </c>
      <c r="J14">
        <f t="shared" si="1"/>
        <v>5208</v>
      </c>
      <c r="K14">
        <v>609</v>
      </c>
      <c r="L14">
        <v>609</v>
      </c>
      <c r="M14">
        <f t="shared" si="2"/>
        <v>1218</v>
      </c>
      <c r="N14">
        <v>0</v>
      </c>
      <c r="O14" s="2">
        <v>140000</v>
      </c>
      <c r="P14">
        <f t="shared" si="3"/>
        <v>-1599.1094000000012</v>
      </c>
      <c r="Q14">
        <f t="shared" si="4"/>
        <v>8890.7999999999993</v>
      </c>
      <c r="R14">
        <f t="shared" si="5"/>
        <v>2531.4100000000003</v>
      </c>
      <c r="S14">
        <f t="shared" si="5"/>
        <v>0</v>
      </c>
      <c r="T14" s="4">
        <f t="shared" si="6"/>
        <v>9823.1005999999979</v>
      </c>
      <c r="U14">
        <f t="shared" si="7"/>
        <v>140</v>
      </c>
      <c r="V14" s="6">
        <f t="shared" si="8"/>
        <v>7.0165004285714275E-2</v>
      </c>
    </row>
    <row r="15" spans="1:22" x14ac:dyDescent="0.2">
      <c r="A15" s="2">
        <v>160000</v>
      </c>
      <c r="B15">
        <f t="shared" si="0"/>
        <v>40000</v>
      </c>
      <c r="C15" s="2">
        <v>35519.5124</v>
      </c>
      <c r="D15">
        <v>37065.089999999997</v>
      </c>
      <c r="E15">
        <v>14098.8</v>
      </c>
      <c r="F15">
        <v>4285.04</v>
      </c>
      <c r="G15">
        <v>0</v>
      </c>
      <c r="H15">
        <v>2976</v>
      </c>
      <c r="I15">
        <v>2976</v>
      </c>
      <c r="J15">
        <f t="shared" si="1"/>
        <v>5952</v>
      </c>
      <c r="K15">
        <v>696</v>
      </c>
      <c r="L15">
        <v>696</v>
      </c>
      <c r="M15">
        <f t="shared" si="2"/>
        <v>1392</v>
      </c>
      <c r="N15">
        <v>0</v>
      </c>
      <c r="O15" s="2">
        <v>160000</v>
      </c>
      <c r="P15">
        <f t="shared" si="3"/>
        <v>-1545.5775999999969</v>
      </c>
      <c r="Q15">
        <f t="shared" si="4"/>
        <v>8146.7999999999993</v>
      </c>
      <c r="R15">
        <f t="shared" si="5"/>
        <v>2893.04</v>
      </c>
      <c r="S15">
        <f t="shared" si="5"/>
        <v>0</v>
      </c>
      <c r="T15" s="4">
        <f t="shared" si="6"/>
        <v>9494.2624000000033</v>
      </c>
      <c r="U15">
        <f t="shared" si="7"/>
        <v>160</v>
      </c>
      <c r="V15" s="6">
        <f t="shared" si="8"/>
        <v>5.9339140000000019E-2</v>
      </c>
    </row>
    <row r="16" spans="1:22" x14ac:dyDescent="0.2">
      <c r="A16" s="2">
        <v>180000</v>
      </c>
      <c r="B16">
        <f t="shared" si="0"/>
        <v>45000</v>
      </c>
      <c r="C16" s="2">
        <v>41044.524200000007</v>
      </c>
      <c r="D16">
        <v>42536.570000000007</v>
      </c>
      <c r="E16">
        <v>14098.8</v>
      </c>
      <c r="F16">
        <v>4820.67</v>
      </c>
      <c r="G16">
        <v>0</v>
      </c>
      <c r="H16">
        <v>3348</v>
      </c>
      <c r="I16">
        <v>3348</v>
      </c>
      <c r="J16">
        <f t="shared" si="1"/>
        <v>6696</v>
      </c>
      <c r="K16">
        <v>783</v>
      </c>
      <c r="L16">
        <v>783</v>
      </c>
      <c r="M16">
        <f t="shared" si="2"/>
        <v>1566</v>
      </c>
      <c r="N16">
        <v>0</v>
      </c>
      <c r="O16" s="2">
        <v>180000</v>
      </c>
      <c r="P16">
        <f t="shared" si="3"/>
        <v>-1492.0457999999999</v>
      </c>
      <c r="Q16">
        <f t="shared" si="4"/>
        <v>7402.7999999999993</v>
      </c>
      <c r="R16">
        <f t="shared" si="5"/>
        <v>3254.67</v>
      </c>
      <c r="S16">
        <f t="shared" si="5"/>
        <v>0</v>
      </c>
      <c r="T16" s="4">
        <f t="shared" si="6"/>
        <v>9165.4241999999995</v>
      </c>
      <c r="U16">
        <f t="shared" si="7"/>
        <v>180</v>
      </c>
      <c r="V16" s="6">
        <f t="shared" si="8"/>
        <v>5.0919023333333327E-2</v>
      </c>
    </row>
    <row r="17" spans="1:22" x14ac:dyDescent="0.2">
      <c r="A17" s="2">
        <v>200000</v>
      </c>
      <c r="B17">
        <f t="shared" si="0"/>
        <v>50000</v>
      </c>
      <c r="C17" s="2">
        <v>46920.658500000005</v>
      </c>
      <c r="D17">
        <v>48616.05</v>
      </c>
      <c r="E17">
        <v>14098.8</v>
      </c>
      <c r="F17">
        <v>5356.3</v>
      </c>
      <c r="G17">
        <v>0</v>
      </c>
      <c r="H17">
        <v>3720</v>
      </c>
      <c r="I17">
        <v>3720</v>
      </c>
      <c r="J17">
        <f t="shared" si="1"/>
        <v>7440</v>
      </c>
      <c r="K17">
        <v>870</v>
      </c>
      <c r="L17">
        <v>870</v>
      </c>
      <c r="M17">
        <f t="shared" si="2"/>
        <v>1740</v>
      </c>
      <c r="N17">
        <v>0</v>
      </c>
      <c r="O17" s="2">
        <v>200000</v>
      </c>
      <c r="P17">
        <f t="shared" si="3"/>
        <v>-1695.3914999999979</v>
      </c>
      <c r="Q17">
        <f t="shared" si="4"/>
        <v>6658.7999999999993</v>
      </c>
      <c r="R17">
        <f t="shared" si="5"/>
        <v>3616.3</v>
      </c>
      <c r="S17">
        <f t="shared" si="5"/>
        <v>0</v>
      </c>
      <c r="T17" s="4">
        <f t="shared" si="6"/>
        <v>8579.7085000000006</v>
      </c>
      <c r="U17">
        <f t="shared" si="7"/>
        <v>200</v>
      </c>
      <c r="V17" s="6">
        <f t="shared" si="8"/>
        <v>4.2898542500000005E-2</v>
      </c>
    </row>
    <row r="18" spans="1:22" x14ac:dyDescent="0.2">
      <c r="A18" s="2">
        <v>220000</v>
      </c>
      <c r="B18">
        <f t="shared" si="0"/>
        <v>55000</v>
      </c>
      <c r="C18" s="2">
        <v>53432.279550000007</v>
      </c>
      <c r="D18">
        <v>55064.58</v>
      </c>
      <c r="E18">
        <v>14098.8</v>
      </c>
      <c r="F18">
        <v>5891.93</v>
      </c>
      <c r="G18">
        <v>180</v>
      </c>
      <c r="H18">
        <v>4092</v>
      </c>
      <c r="I18">
        <v>4092</v>
      </c>
      <c r="J18">
        <f t="shared" si="1"/>
        <v>8184</v>
      </c>
      <c r="K18">
        <v>957</v>
      </c>
      <c r="L18">
        <v>957</v>
      </c>
      <c r="M18">
        <f t="shared" si="2"/>
        <v>1914</v>
      </c>
      <c r="N18">
        <v>0</v>
      </c>
      <c r="O18" s="2">
        <v>220000</v>
      </c>
      <c r="P18">
        <f t="shared" si="3"/>
        <v>-1632.3004499999952</v>
      </c>
      <c r="Q18">
        <f t="shared" si="4"/>
        <v>5914.7999999999993</v>
      </c>
      <c r="R18">
        <f t="shared" si="5"/>
        <v>3977.9300000000003</v>
      </c>
      <c r="S18">
        <f t="shared" si="5"/>
        <v>180</v>
      </c>
      <c r="T18" s="4">
        <f t="shared" si="6"/>
        <v>8440.4295500000044</v>
      </c>
      <c r="U18">
        <f t="shared" si="7"/>
        <v>220</v>
      </c>
      <c r="V18" s="6">
        <f t="shared" si="8"/>
        <v>3.8365588863636384E-2</v>
      </c>
    </row>
    <row r="19" spans="1:22" x14ac:dyDescent="0.2">
      <c r="A19" s="2">
        <v>240000</v>
      </c>
      <c r="B19">
        <f t="shared" si="0"/>
        <v>60000</v>
      </c>
      <c r="C19" s="2">
        <v>59943.900600000001</v>
      </c>
      <c r="D19">
        <v>61513.11</v>
      </c>
      <c r="E19">
        <v>14098.8</v>
      </c>
      <c r="F19">
        <v>6427.56</v>
      </c>
      <c r="G19">
        <v>360</v>
      </c>
      <c r="H19">
        <v>4464</v>
      </c>
      <c r="I19">
        <v>4464</v>
      </c>
      <c r="J19">
        <f t="shared" si="1"/>
        <v>8928</v>
      </c>
      <c r="K19">
        <v>1044</v>
      </c>
      <c r="L19">
        <v>1044</v>
      </c>
      <c r="M19">
        <f t="shared" si="2"/>
        <v>2088</v>
      </c>
      <c r="N19">
        <v>0</v>
      </c>
      <c r="O19" s="2">
        <v>240000</v>
      </c>
      <c r="P19">
        <f t="shared" si="3"/>
        <v>-1569.2093999999997</v>
      </c>
      <c r="Q19">
        <f t="shared" si="4"/>
        <v>5170.7999999999993</v>
      </c>
      <c r="R19">
        <f t="shared" si="5"/>
        <v>4339.5600000000004</v>
      </c>
      <c r="S19">
        <f t="shared" si="5"/>
        <v>360</v>
      </c>
      <c r="T19" s="4">
        <f t="shared" si="6"/>
        <v>8301.1506000000008</v>
      </c>
      <c r="U19">
        <f t="shared" si="7"/>
        <v>240</v>
      </c>
      <c r="V19" s="6">
        <f t="shared" si="8"/>
        <v>3.4588127500000003E-2</v>
      </c>
    </row>
    <row r="20" spans="1:22" x14ac:dyDescent="0.2">
      <c r="A20" s="2">
        <v>260000</v>
      </c>
      <c r="B20">
        <f t="shared" si="0"/>
        <v>65000</v>
      </c>
      <c r="C20" s="2">
        <v>66455.52165000001</v>
      </c>
      <c r="D20">
        <v>67961.64</v>
      </c>
      <c r="E20">
        <v>14098.8</v>
      </c>
      <c r="F20">
        <v>6963.1900000000005</v>
      </c>
      <c r="G20">
        <v>540</v>
      </c>
      <c r="H20">
        <v>4836</v>
      </c>
      <c r="I20">
        <v>4836</v>
      </c>
      <c r="J20">
        <f t="shared" si="1"/>
        <v>9672</v>
      </c>
      <c r="K20">
        <v>1131</v>
      </c>
      <c r="L20">
        <v>1131</v>
      </c>
      <c r="M20">
        <f t="shared" si="2"/>
        <v>2262</v>
      </c>
      <c r="N20">
        <v>0</v>
      </c>
      <c r="O20" s="2">
        <v>260000</v>
      </c>
      <c r="P20">
        <f t="shared" si="3"/>
        <v>-1506.1183499999897</v>
      </c>
      <c r="Q20">
        <f t="shared" si="4"/>
        <v>4426.7999999999993</v>
      </c>
      <c r="R20">
        <f t="shared" si="5"/>
        <v>4701.1900000000005</v>
      </c>
      <c r="S20">
        <f t="shared" si="5"/>
        <v>540</v>
      </c>
      <c r="T20" s="4">
        <f t="shared" si="6"/>
        <v>8161.87165000001</v>
      </c>
      <c r="U20">
        <f t="shared" si="7"/>
        <v>260</v>
      </c>
      <c r="V20" s="6">
        <f t="shared" si="8"/>
        <v>3.1391814038461578E-2</v>
      </c>
    </row>
    <row r="21" spans="1:22" x14ac:dyDescent="0.2">
      <c r="A21" s="2">
        <v>280000</v>
      </c>
      <c r="B21">
        <f t="shared" si="0"/>
        <v>70000</v>
      </c>
      <c r="C21" s="2">
        <v>72967.142699999997</v>
      </c>
      <c r="D21">
        <v>74410.17</v>
      </c>
      <c r="E21">
        <v>14098.8</v>
      </c>
      <c r="F21">
        <v>7498.8200000000006</v>
      </c>
      <c r="G21">
        <v>720</v>
      </c>
      <c r="H21">
        <v>5208</v>
      </c>
      <c r="I21">
        <v>5208</v>
      </c>
      <c r="J21">
        <f t="shared" si="1"/>
        <v>10416</v>
      </c>
      <c r="K21">
        <v>1218</v>
      </c>
      <c r="L21">
        <v>1218</v>
      </c>
      <c r="M21">
        <f t="shared" si="2"/>
        <v>2436</v>
      </c>
      <c r="N21">
        <v>0</v>
      </c>
      <c r="O21" s="2">
        <v>280000</v>
      </c>
      <c r="P21">
        <f t="shared" si="3"/>
        <v>-1443.0273000000016</v>
      </c>
      <c r="Q21">
        <f t="shared" si="4"/>
        <v>3682.7999999999993</v>
      </c>
      <c r="R21">
        <f t="shared" si="5"/>
        <v>5062.8200000000006</v>
      </c>
      <c r="S21">
        <f t="shared" si="5"/>
        <v>720</v>
      </c>
      <c r="T21" s="4">
        <f t="shared" si="6"/>
        <v>8022.5926999999983</v>
      </c>
      <c r="U21">
        <f t="shared" si="7"/>
        <v>280</v>
      </c>
      <c r="V21" s="6">
        <f t="shared" si="8"/>
        <v>2.865211678571428E-2</v>
      </c>
    </row>
    <row r="22" spans="1:22" x14ac:dyDescent="0.2">
      <c r="A22" s="2">
        <v>300000</v>
      </c>
      <c r="B22">
        <f t="shared" si="0"/>
        <v>75000</v>
      </c>
      <c r="C22" s="2">
        <v>79478.763749999998</v>
      </c>
      <c r="D22">
        <v>80858.700000000012</v>
      </c>
      <c r="E22">
        <v>14098.8</v>
      </c>
      <c r="F22">
        <v>8034.4500000000007</v>
      </c>
      <c r="G22">
        <v>899.99999999999989</v>
      </c>
      <c r="H22">
        <v>5580</v>
      </c>
      <c r="I22">
        <v>5580</v>
      </c>
      <c r="J22">
        <f t="shared" si="1"/>
        <v>11160</v>
      </c>
      <c r="K22">
        <v>1305</v>
      </c>
      <c r="L22">
        <v>1305</v>
      </c>
      <c r="M22">
        <f t="shared" si="2"/>
        <v>2610</v>
      </c>
      <c r="N22">
        <v>0</v>
      </c>
      <c r="O22" s="2">
        <v>300000</v>
      </c>
      <c r="P22">
        <f t="shared" si="3"/>
        <v>-1379.9362500000134</v>
      </c>
      <c r="Q22">
        <f t="shared" si="4"/>
        <v>2938.7999999999993</v>
      </c>
      <c r="R22">
        <f t="shared" si="5"/>
        <v>5424.4500000000007</v>
      </c>
      <c r="S22">
        <f t="shared" si="5"/>
        <v>899.99999999999989</v>
      </c>
      <c r="T22" s="4">
        <f t="shared" si="6"/>
        <v>7883.3137499999866</v>
      </c>
      <c r="U22">
        <f t="shared" si="7"/>
        <v>300</v>
      </c>
      <c r="V22" s="6">
        <f t="shared" si="8"/>
        <v>2.6277712499999956E-2</v>
      </c>
    </row>
    <row r="23" spans="1:22" x14ac:dyDescent="0.2">
      <c r="A23" s="2">
        <v>320000</v>
      </c>
      <c r="B23">
        <f t="shared" si="0"/>
        <v>80000</v>
      </c>
      <c r="C23" s="2">
        <v>85990.3848</v>
      </c>
      <c r="D23">
        <v>87307.23000000001</v>
      </c>
      <c r="E23">
        <v>14098.8</v>
      </c>
      <c r="F23">
        <v>8570.08</v>
      </c>
      <c r="G23">
        <v>1080</v>
      </c>
      <c r="H23">
        <v>5952</v>
      </c>
      <c r="I23">
        <v>5952</v>
      </c>
      <c r="J23">
        <f t="shared" si="1"/>
        <v>11904</v>
      </c>
      <c r="K23">
        <v>1392</v>
      </c>
      <c r="L23">
        <v>1392</v>
      </c>
      <c r="M23">
        <f t="shared" si="2"/>
        <v>2784</v>
      </c>
      <c r="N23">
        <v>0</v>
      </c>
      <c r="O23" s="2">
        <v>320000</v>
      </c>
      <c r="P23">
        <f t="shared" si="3"/>
        <v>-1316.8452000000107</v>
      </c>
      <c r="Q23">
        <f t="shared" si="4"/>
        <v>2194.7999999999993</v>
      </c>
      <c r="R23">
        <f t="shared" si="5"/>
        <v>5786.08</v>
      </c>
      <c r="S23">
        <f t="shared" si="5"/>
        <v>1080</v>
      </c>
      <c r="T23" s="4">
        <f t="shared" si="6"/>
        <v>7744.0347999999885</v>
      </c>
      <c r="U23">
        <f t="shared" si="7"/>
        <v>320</v>
      </c>
      <c r="V23" s="6">
        <f t="shared" si="8"/>
        <v>2.4200108749999963E-2</v>
      </c>
    </row>
    <row r="24" spans="1:22" x14ac:dyDescent="0.2">
      <c r="A24" s="2">
        <v>340000</v>
      </c>
      <c r="B24">
        <f t="shared" si="0"/>
        <v>85000</v>
      </c>
      <c r="C24" s="2">
        <v>92502.005850000001</v>
      </c>
      <c r="D24">
        <v>93755.760000000009</v>
      </c>
      <c r="E24">
        <v>14098.8</v>
      </c>
      <c r="F24">
        <v>9105.7100000000009</v>
      </c>
      <c r="G24">
        <v>1260</v>
      </c>
      <c r="H24">
        <v>6324</v>
      </c>
      <c r="I24">
        <v>6324</v>
      </c>
      <c r="J24">
        <f t="shared" si="1"/>
        <v>12648</v>
      </c>
      <c r="K24">
        <v>1479</v>
      </c>
      <c r="L24">
        <v>1479</v>
      </c>
      <c r="M24">
        <f t="shared" si="2"/>
        <v>2958</v>
      </c>
      <c r="N24">
        <v>0</v>
      </c>
      <c r="O24" s="2">
        <v>340000</v>
      </c>
      <c r="P24">
        <f t="shared" si="3"/>
        <v>-1253.7541500000079</v>
      </c>
      <c r="Q24">
        <f t="shared" si="4"/>
        <v>1450.7999999999993</v>
      </c>
      <c r="R24">
        <f t="shared" si="5"/>
        <v>6147.7100000000009</v>
      </c>
      <c r="S24">
        <f t="shared" si="5"/>
        <v>1260</v>
      </c>
      <c r="T24" s="4">
        <f t="shared" si="6"/>
        <v>7604.7558499999923</v>
      </c>
      <c r="U24">
        <f t="shared" si="7"/>
        <v>340</v>
      </c>
      <c r="V24" s="6">
        <f t="shared" si="8"/>
        <v>2.2366928970588212E-2</v>
      </c>
    </row>
    <row r="25" spans="1:22" x14ac:dyDescent="0.2">
      <c r="A25" s="2">
        <v>360000</v>
      </c>
      <c r="B25">
        <f t="shared" si="0"/>
        <v>90000</v>
      </c>
      <c r="C25" s="2">
        <v>99013.626900000003</v>
      </c>
      <c r="D25">
        <v>100204.29000000001</v>
      </c>
      <c r="E25">
        <v>14098.8</v>
      </c>
      <c r="F25">
        <v>9641.34</v>
      </c>
      <c r="G25">
        <v>1440</v>
      </c>
      <c r="H25">
        <v>6696</v>
      </c>
      <c r="I25">
        <v>6696</v>
      </c>
      <c r="J25">
        <f t="shared" si="1"/>
        <v>13392</v>
      </c>
      <c r="K25">
        <v>1566</v>
      </c>
      <c r="L25">
        <v>1566</v>
      </c>
      <c r="M25">
        <f t="shared" si="2"/>
        <v>3132</v>
      </c>
      <c r="N25">
        <v>0</v>
      </c>
      <c r="O25" s="2">
        <v>360000</v>
      </c>
      <c r="P25">
        <f t="shared" si="3"/>
        <v>-1190.6631000000052</v>
      </c>
      <c r="Q25">
        <f t="shared" si="4"/>
        <v>706.79999999999927</v>
      </c>
      <c r="R25">
        <f t="shared" si="5"/>
        <v>6509.34</v>
      </c>
      <c r="S25">
        <f t="shared" si="5"/>
        <v>1440</v>
      </c>
      <c r="T25" s="4">
        <f t="shared" si="6"/>
        <v>7465.4768999999942</v>
      </c>
      <c r="U25">
        <f t="shared" si="7"/>
        <v>360</v>
      </c>
      <c r="V25" s="6">
        <f t="shared" si="8"/>
        <v>2.0737435833333318E-2</v>
      </c>
    </row>
    <row r="26" spans="1:22" x14ac:dyDescent="0.2">
      <c r="A26" s="2">
        <v>380000</v>
      </c>
      <c r="B26">
        <f t="shared" si="0"/>
        <v>95000</v>
      </c>
      <c r="C26" s="2">
        <v>105525.24794999999</v>
      </c>
      <c r="D26">
        <v>106658.958</v>
      </c>
      <c r="E26">
        <v>14098.8</v>
      </c>
      <c r="F26">
        <v>10176.970000000001</v>
      </c>
      <c r="G26">
        <v>1619.9999999999998</v>
      </c>
      <c r="H26">
        <v>7049.4</v>
      </c>
      <c r="I26">
        <v>7049.4</v>
      </c>
      <c r="J26">
        <f t="shared" si="1"/>
        <v>14098.8</v>
      </c>
      <c r="K26">
        <v>1653</v>
      </c>
      <c r="L26">
        <v>1653</v>
      </c>
      <c r="M26">
        <f t="shared" si="2"/>
        <v>3306</v>
      </c>
      <c r="N26">
        <v>0</v>
      </c>
      <c r="O26" s="2">
        <v>380000</v>
      </c>
      <c r="P26">
        <f t="shared" si="3"/>
        <v>-1133.7100500000088</v>
      </c>
      <c r="Q26">
        <f t="shared" si="4"/>
        <v>0</v>
      </c>
      <c r="R26">
        <f t="shared" si="5"/>
        <v>6870.9700000000012</v>
      </c>
      <c r="S26">
        <f t="shared" si="5"/>
        <v>1619.9999999999998</v>
      </c>
      <c r="T26" s="4">
        <f t="shared" si="6"/>
        <v>7357.2599499999924</v>
      </c>
      <c r="U26">
        <f t="shared" si="7"/>
        <v>380</v>
      </c>
      <c r="V26" s="6">
        <f t="shared" si="8"/>
        <v>1.9361210394736823E-2</v>
      </c>
    </row>
    <row r="27" spans="1:22" x14ac:dyDescent="0.2">
      <c r="A27" s="2">
        <v>400000</v>
      </c>
      <c r="B27">
        <f t="shared" si="0"/>
        <v>100000</v>
      </c>
      <c r="C27" s="2">
        <v>112036.86900000001</v>
      </c>
      <c r="D27">
        <v>113230.24799999999</v>
      </c>
      <c r="E27">
        <v>14098.8</v>
      </c>
      <c r="F27">
        <v>10712.6</v>
      </c>
      <c r="G27">
        <v>1799.9999999999998</v>
      </c>
      <c r="H27">
        <v>7049.4</v>
      </c>
      <c r="I27">
        <v>7049.4</v>
      </c>
      <c r="J27">
        <f t="shared" si="1"/>
        <v>14098.8</v>
      </c>
      <c r="K27">
        <v>1740</v>
      </c>
      <c r="L27">
        <v>1740</v>
      </c>
      <c r="M27">
        <f t="shared" si="2"/>
        <v>3480</v>
      </c>
      <c r="N27">
        <v>0</v>
      </c>
      <c r="O27" s="2">
        <v>400000</v>
      </c>
      <c r="P27">
        <f t="shared" si="3"/>
        <v>-1193.3789999999863</v>
      </c>
      <c r="Q27">
        <f t="shared" si="4"/>
        <v>0</v>
      </c>
      <c r="R27">
        <f t="shared" si="5"/>
        <v>7232.6</v>
      </c>
      <c r="S27">
        <f t="shared" si="5"/>
        <v>1799.9999999999998</v>
      </c>
      <c r="T27" s="4">
        <f t="shared" si="6"/>
        <v>7839.2210000000141</v>
      </c>
      <c r="U27">
        <f t="shared" si="7"/>
        <v>400</v>
      </c>
      <c r="V27" s="6">
        <f>T27/A27</f>
        <v>1.9598052500000036E-2</v>
      </c>
    </row>
    <row r="28" spans="1:22" x14ac:dyDescent="0.2">
      <c r="A28" s="2">
        <v>420000</v>
      </c>
      <c r="B28">
        <f t="shared" si="0"/>
        <v>105000</v>
      </c>
      <c r="C28" s="2">
        <v>119065.03805999999</v>
      </c>
      <c r="D28">
        <v>120568.69559999999</v>
      </c>
      <c r="E28">
        <v>14098.8</v>
      </c>
      <c r="F28">
        <v>11248.230000000001</v>
      </c>
      <c r="G28">
        <v>1979.9999999999998</v>
      </c>
      <c r="H28">
        <v>7049.4</v>
      </c>
      <c r="I28">
        <v>7049.4</v>
      </c>
      <c r="J28">
        <f t="shared" si="1"/>
        <v>14098.8</v>
      </c>
      <c r="K28">
        <v>1827</v>
      </c>
      <c r="L28">
        <v>1827</v>
      </c>
      <c r="M28">
        <f t="shared" si="2"/>
        <v>3654</v>
      </c>
      <c r="N28">
        <v>0</v>
      </c>
      <c r="O28" s="2">
        <v>420000</v>
      </c>
      <c r="P28">
        <f t="shared" si="3"/>
        <v>-1503.6575400000002</v>
      </c>
      <c r="Q28">
        <f t="shared" si="4"/>
        <v>0</v>
      </c>
      <c r="R28">
        <f t="shared" si="5"/>
        <v>7594.2300000000014</v>
      </c>
      <c r="S28">
        <f t="shared" si="5"/>
        <v>1979.9999999999998</v>
      </c>
      <c r="T28" s="4">
        <f t="shared" si="6"/>
        <v>8070.5724600000012</v>
      </c>
      <c r="U28">
        <f t="shared" si="7"/>
        <v>420</v>
      </c>
      <c r="V28" s="6">
        <f t="shared" si="8"/>
        <v>1.9215648714285716E-2</v>
      </c>
    </row>
    <row r="29" spans="1:22" x14ac:dyDescent="0.2">
      <c r="A29" s="2">
        <v>440000</v>
      </c>
      <c r="B29">
        <f t="shared" si="0"/>
        <v>110000</v>
      </c>
      <c r="C29" s="2">
        <v>126878.98332</v>
      </c>
      <c r="D29">
        <v>128454.24359999999</v>
      </c>
      <c r="E29">
        <v>14098.8</v>
      </c>
      <c r="F29">
        <v>11783.86</v>
      </c>
      <c r="G29">
        <v>2160</v>
      </c>
      <c r="H29">
        <v>7049.4</v>
      </c>
      <c r="I29">
        <v>7049.4</v>
      </c>
      <c r="J29">
        <f t="shared" si="1"/>
        <v>14098.8</v>
      </c>
      <c r="K29">
        <v>1914</v>
      </c>
      <c r="L29">
        <v>1914</v>
      </c>
      <c r="M29">
        <f t="shared" si="2"/>
        <v>3828</v>
      </c>
      <c r="N29">
        <v>0</v>
      </c>
      <c r="O29" s="2">
        <v>440000</v>
      </c>
      <c r="P29">
        <f t="shared" si="3"/>
        <v>-1575.2602799999877</v>
      </c>
      <c r="Q29">
        <f t="shared" si="4"/>
        <v>0</v>
      </c>
      <c r="R29">
        <f t="shared" si="5"/>
        <v>7955.8600000000006</v>
      </c>
      <c r="S29">
        <f t="shared" si="5"/>
        <v>2160</v>
      </c>
      <c r="T29" s="4">
        <f t="shared" si="6"/>
        <v>8540.5997200000129</v>
      </c>
      <c r="U29">
        <f t="shared" si="7"/>
        <v>440</v>
      </c>
      <c r="V29" s="6">
        <f t="shared" si="8"/>
        <v>1.9410453909090939E-2</v>
      </c>
    </row>
    <row r="30" spans="1:22" x14ac:dyDescent="0.2">
      <c r="A30" s="2">
        <v>460000</v>
      </c>
      <c r="B30">
        <f t="shared" si="0"/>
        <v>115000</v>
      </c>
      <c r="C30" s="2">
        <v>134692.92858000001</v>
      </c>
      <c r="D30">
        <v>136339.7916</v>
      </c>
      <c r="E30">
        <v>14098.8</v>
      </c>
      <c r="F30">
        <v>12319.49</v>
      </c>
      <c r="G30">
        <v>2340</v>
      </c>
      <c r="H30">
        <v>7049.4</v>
      </c>
      <c r="I30">
        <v>7049.4</v>
      </c>
      <c r="J30">
        <f t="shared" si="1"/>
        <v>14098.8</v>
      </c>
      <c r="K30">
        <v>2001</v>
      </c>
      <c r="L30">
        <v>2001</v>
      </c>
      <c r="M30">
        <f t="shared" si="2"/>
        <v>4002</v>
      </c>
      <c r="N30">
        <v>0</v>
      </c>
      <c r="O30" s="2">
        <v>460000</v>
      </c>
      <c r="P30">
        <f t="shared" si="3"/>
        <v>-1646.8630199999898</v>
      </c>
      <c r="Q30">
        <f t="shared" si="4"/>
        <v>0</v>
      </c>
      <c r="R30">
        <f t="shared" si="5"/>
        <v>8317.49</v>
      </c>
      <c r="S30">
        <f t="shared" si="5"/>
        <v>2340</v>
      </c>
      <c r="T30" s="4">
        <f t="shared" si="6"/>
        <v>9010.62698000001</v>
      </c>
      <c r="U30">
        <f t="shared" si="7"/>
        <v>460</v>
      </c>
      <c r="V30" s="6">
        <f t="shared" si="8"/>
        <v>1.9588319521739152E-2</v>
      </c>
    </row>
    <row r="31" spans="1:22" x14ac:dyDescent="0.2">
      <c r="A31" s="2">
        <v>480000</v>
      </c>
      <c r="B31">
        <f t="shared" si="0"/>
        <v>120000</v>
      </c>
      <c r="C31" s="2">
        <v>142506.87383999999</v>
      </c>
      <c r="D31">
        <v>144225.33960000001</v>
      </c>
      <c r="E31">
        <v>14098.8</v>
      </c>
      <c r="F31">
        <v>12855.12</v>
      </c>
      <c r="G31">
        <v>2520</v>
      </c>
      <c r="H31">
        <v>7049.4</v>
      </c>
      <c r="I31">
        <v>7049.4</v>
      </c>
      <c r="J31">
        <f t="shared" si="1"/>
        <v>14098.8</v>
      </c>
      <c r="K31">
        <v>2088</v>
      </c>
      <c r="L31">
        <v>2088</v>
      </c>
      <c r="M31">
        <f t="shared" si="2"/>
        <v>4176</v>
      </c>
      <c r="N31">
        <v>0</v>
      </c>
      <c r="O31" s="2">
        <v>480000</v>
      </c>
      <c r="P31">
        <f t="shared" si="3"/>
        <v>-1718.465760000021</v>
      </c>
      <c r="Q31">
        <f t="shared" si="4"/>
        <v>0</v>
      </c>
      <c r="R31">
        <f t="shared" si="5"/>
        <v>8679.1200000000008</v>
      </c>
      <c r="S31">
        <f t="shared" si="5"/>
        <v>2520</v>
      </c>
      <c r="T31" s="4">
        <f t="shared" si="6"/>
        <v>9480.6542399999798</v>
      </c>
      <c r="U31">
        <f t="shared" si="7"/>
        <v>480</v>
      </c>
      <c r="V31" s="6">
        <f t="shared" si="8"/>
        <v>1.9751362999999959E-2</v>
      </c>
    </row>
    <row r="32" spans="1:22" x14ac:dyDescent="0.2">
      <c r="A32" s="2">
        <v>500000</v>
      </c>
      <c r="B32">
        <f t="shared" si="0"/>
        <v>125000</v>
      </c>
      <c r="C32" s="2">
        <v>150320.81909999999</v>
      </c>
      <c r="D32">
        <v>152110.88759999999</v>
      </c>
      <c r="E32">
        <v>14098.8</v>
      </c>
      <c r="F32">
        <v>13390.75</v>
      </c>
      <c r="G32">
        <v>2700</v>
      </c>
      <c r="H32">
        <v>7049.4</v>
      </c>
      <c r="I32">
        <v>7049.4</v>
      </c>
      <c r="J32">
        <f t="shared" si="1"/>
        <v>14098.8</v>
      </c>
      <c r="K32">
        <v>2175</v>
      </c>
      <c r="L32">
        <v>2175</v>
      </c>
      <c r="M32">
        <f t="shared" si="2"/>
        <v>4350</v>
      </c>
      <c r="N32">
        <v>0</v>
      </c>
      <c r="O32" s="2">
        <v>500000</v>
      </c>
      <c r="P32">
        <f t="shared" si="3"/>
        <v>-1790.0684999999939</v>
      </c>
      <c r="Q32">
        <f t="shared" si="4"/>
        <v>0</v>
      </c>
      <c r="R32">
        <f t="shared" si="5"/>
        <v>9040.75</v>
      </c>
      <c r="S32">
        <f t="shared" si="5"/>
        <v>2700</v>
      </c>
      <c r="T32" s="4">
        <f t="shared" si="6"/>
        <v>9950.6815000000061</v>
      </c>
      <c r="U32">
        <f t="shared" si="7"/>
        <v>500</v>
      </c>
      <c r="V32" s="6">
        <f t="shared" si="8"/>
        <v>1.9901363000000012E-2</v>
      </c>
    </row>
    <row r="33" spans="1:22" x14ac:dyDescent="0.2">
      <c r="A33" s="2">
        <v>520000</v>
      </c>
      <c r="B33">
        <f t="shared" si="0"/>
        <v>130000</v>
      </c>
      <c r="C33" s="2">
        <v>158134.76436</v>
      </c>
      <c r="D33">
        <v>159996.4356</v>
      </c>
      <c r="E33">
        <v>14098.8</v>
      </c>
      <c r="F33">
        <v>13926.380000000001</v>
      </c>
      <c r="G33">
        <v>2880</v>
      </c>
      <c r="H33">
        <v>7049.4</v>
      </c>
      <c r="I33">
        <v>7049.4</v>
      </c>
      <c r="J33">
        <f t="shared" si="1"/>
        <v>14098.8</v>
      </c>
      <c r="K33">
        <v>2262</v>
      </c>
      <c r="L33">
        <v>2262</v>
      </c>
      <c r="M33">
        <f t="shared" si="2"/>
        <v>4524</v>
      </c>
      <c r="N33">
        <v>0</v>
      </c>
      <c r="O33" s="2">
        <v>520000</v>
      </c>
      <c r="P33">
        <f t="shared" si="3"/>
        <v>-1861.671239999996</v>
      </c>
      <c r="Q33">
        <f t="shared" si="4"/>
        <v>0</v>
      </c>
      <c r="R33">
        <f t="shared" si="5"/>
        <v>9402.380000000001</v>
      </c>
      <c r="S33">
        <f t="shared" si="5"/>
        <v>2880</v>
      </c>
      <c r="T33" s="4">
        <f t="shared" si="6"/>
        <v>10420.708760000005</v>
      </c>
      <c r="U33">
        <f t="shared" si="7"/>
        <v>520</v>
      </c>
      <c r="V33" s="6">
        <f t="shared" si="8"/>
        <v>2.0039824538461547E-2</v>
      </c>
    </row>
    <row r="34" spans="1:22" x14ac:dyDescent="0.2">
      <c r="A34" s="2">
        <v>540000</v>
      </c>
      <c r="B34">
        <f t="shared" si="0"/>
        <v>135000</v>
      </c>
      <c r="C34" s="2">
        <v>165948.70961999998</v>
      </c>
      <c r="D34">
        <v>167881.98359999998</v>
      </c>
      <c r="E34">
        <v>14098.8</v>
      </c>
      <c r="F34">
        <v>14462.01</v>
      </c>
      <c r="G34">
        <v>3059.9999999999995</v>
      </c>
      <c r="H34">
        <v>7049.4</v>
      </c>
      <c r="I34">
        <v>7049.4</v>
      </c>
      <c r="J34">
        <f t="shared" si="1"/>
        <v>14098.8</v>
      </c>
      <c r="K34">
        <v>2349</v>
      </c>
      <c r="L34">
        <v>2349</v>
      </c>
      <c r="M34">
        <f t="shared" si="2"/>
        <v>4698</v>
      </c>
      <c r="N34">
        <v>0</v>
      </c>
      <c r="O34" s="2">
        <v>540000</v>
      </c>
      <c r="P34">
        <f t="shared" si="3"/>
        <v>-1933.2739799999981</v>
      </c>
      <c r="Q34">
        <f t="shared" si="4"/>
        <v>0</v>
      </c>
      <c r="R34">
        <f t="shared" si="5"/>
        <v>9764.01</v>
      </c>
      <c r="S34">
        <f t="shared" si="5"/>
        <v>3059.9999999999995</v>
      </c>
      <c r="T34" s="4">
        <f t="shared" si="6"/>
        <v>10890.736020000002</v>
      </c>
      <c r="U34">
        <f t="shared" si="7"/>
        <v>540</v>
      </c>
      <c r="V34" s="6">
        <f t="shared" si="8"/>
        <v>2.016802966666667E-2</v>
      </c>
    </row>
    <row r="35" spans="1:22" x14ac:dyDescent="0.2">
      <c r="A35" s="2">
        <v>560000</v>
      </c>
      <c r="B35">
        <f t="shared" si="0"/>
        <v>140000</v>
      </c>
      <c r="C35" s="2">
        <v>173762.65488000002</v>
      </c>
      <c r="D35">
        <v>175767.53159999999</v>
      </c>
      <c r="E35">
        <v>14098.8</v>
      </c>
      <c r="F35">
        <v>14997.640000000001</v>
      </c>
      <c r="G35">
        <v>3239.9999999999995</v>
      </c>
      <c r="H35">
        <v>7049.4</v>
      </c>
      <c r="I35">
        <v>7049.4</v>
      </c>
      <c r="J35">
        <f t="shared" si="1"/>
        <v>14098.8</v>
      </c>
      <c r="K35">
        <v>2436</v>
      </c>
      <c r="L35">
        <v>2436</v>
      </c>
      <c r="M35">
        <f t="shared" si="2"/>
        <v>4872</v>
      </c>
      <c r="N35">
        <v>0</v>
      </c>
      <c r="O35" s="2">
        <v>560000</v>
      </c>
      <c r="P35">
        <f t="shared" si="3"/>
        <v>-2004.8767199999711</v>
      </c>
      <c r="Q35">
        <f t="shared" si="4"/>
        <v>0</v>
      </c>
      <c r="R35">
        <f t="shared" si="5"/>
        <v>10125.640000000001</v>
      </c>
      <c r="S35">
        <f t="shared" si="5"/>
        <v>3239.9999999999995</v>
      </c>
      <c r="T35" s="4">
        <f t="shared" si="6"/>
        <v>11360.76328000003</v>
      </c>
      <c r="U35">
        <f t="shared" si="7"/>
        <v>560</v>
      </c>
      <c r="V35" s="6">
        <f t="shared" si="8"/>
        <v>2.0287077285714338E-2</v>
      </c>
    </row>
    <row r="36" spans="1:22" x14ac:dyDescent="0.2">
      <c r="A36" s="2">
        <v>580000</v>
      </c>
      <c r="B36">
        <f t="shared" si="0"/>
        <v>145000</v>
      </c>
      <c r="C36" s="2">
        <v>181576.60014</v>
      </c>
      <c r="D36">
        <v>183653.0796</v>
      </c>
      <c r="E36">
        <v>14098.8</v>
      </c>
      <c r="F36">
        <v>15533.27</v>
      </c>
      <c r="G36">
        <v>3419.9999999999995</v>
      </c>
      <c r="H36">
        <v>7049.4</v>
      </c>
      <c r="I36">
        <v>7049.4</v>
      </c>
      <c r="J36">
        <f t="shared" si="1"/>
        <v>14098.8</v>
      </c>
      <c r="K36">
        <v>2523</v>
      </c>
      <c r="L36">
        <v>2523</v>
      </c>
      <c r="M36">
        <f t="shared" si="2"/>
        <v>5046</v>
      </c>
      <c r="N36">
        <v>0</v>
      </c>
      <c r="O36" s="2">
        <v>580000</v>
      </c>
      <c r="P36">
        <f t="shared" si="3"/>
        <v>-2076.4794600000023</v>
      </c>
      <c r="Q36">
        <f t="shared" si="4"/>
        <v>0</v>
      </c>
      <c r="R36">
        <f t="shared" si="5"/>
        <v>10487.27</v>
      </c>
      <c r="S36">
        <f t="shared" si="5"/>
        <v>3419.9999999999995</v>
      </c>
      <c r="T36" s="4">
        <f t="shared" si="6"/>
        <v>11830.790539999998</v>
      </c>
      <c r="U36">
        <f t="shared" si="7"/>
        <v>580</v>
      </c>
      <c r="V36" s="6">
        <f t="shared" si="8"/>
        <v>2.0397914724137926E-2</v>
      </c>
    </row>
    <row r="37" spans="1:22" x14ac:dyDescent="0.2">
      <c r="A37" s="2">
        <v>600000</v>
      </c>
      <c r="B37">
        <f t="shared" si="0"/>
        <v>150000</v>
      </c>
      <c r="C37" s="2">
        <v>189390.5454</v>
      </c>
      <c r="D37">
        <v>191538.62760000001</v>
      </c>
      <c r="E37">
        <v>14098.8</v>
      </c>
      <c r="F37">
        <v>16068.900000000001</v>
      </c>
      <c r="G37">
        <v>3599.9999999999995</v>
      </c>
      <c r="H37">
        <v>7049.4</v>
      </c>
      <c r="I37">
        <v>7049.4</v>
      </c>
      <c r="J37">
        <f t="shared" si="1"/>
        <v>14098.8</v>
      </c>
      <c r="K37">
        <v>2610</v>
      </c>
      <c r="L37">
        <v>2610</v>
      </c>
      <c r="M37">
        <f t="shared" si="2"/>
        <v>5220</v>
      </c>
      <c r="N37">
        <v>0</v>
      </c>
      <c r="O37" s="2">
        <v>600000</v>
      </c>
      <c r="P37">
        <f t="shared" si="3"/>
        <v>-2148.0822000000044</v>
      </c>
      <c r="Q37">
        <f t="shared" si="4"/>
        <v>0</v>
      </c>
      <c r="R37">
        <f t="shared" si="5"/>
        <v>10848.900000000001</v>
      </c>
      <c r="S37">
        <f t="shared" si="5"/>
        <v>3599.9999999999995</v>
      </c>
      <c r="T37" s="4">
        <f t="shared" si="6"/>
        <v>12300.817799999997</v>
      </c>
      <c r="U37">
        <f t="shared" si="7"/>
        <v>600</v>
      </c>
      <c r="V37" s="6">
        <f t="shared" si="8"/>
        <v>2.0501362999999995E-2</v>
      </c>
    </row>
    <row r="38" spans="1:22" x14ac:dyDescent="0.2">
      <c r="A38" s="2">
        <v>620000</v>
      </c>
      <c r="B38">
        <f t="shared" si="0"/>
        <v>155000</v>
      </c>
      <c r="C38" s="2">
        <v>197204.49066000001</v>
      </c>
      <c r="D38">
        <v>199424.17559999999</v>
      </c>
      <c r="E38">
        <v>14098.8</v>
      </c>
      <c r="F38">
        <v>16604.530000000002</v>
      </c>
      <c r="G38">
        <v>3779.9999999999995</v>
      </c>
      <c r="H38">
        <v>7049.4</v>
      </c>
      <c r="I38">
        <v>7049.4</v>
      </c>
      <c r="J38">
        <f t="shared" si="1"/>
        <v>14098.8</v>
      </c>
      <c r="K38">
        <v>2697</v>
      </c>
      <c r="L38">
        <v>2697</v>
      </c>
      <c r="M38">
        <f t="shared" si="2"/>
        <v>5394</v>
      </c>
      <c r="N38">
        <v>0</v>
      </c>
      <c r="O38" s="2">
        <v>620000</v>
      </c>
      <c r="P38">
        <f t="shared" si="3"/>
        <v>-2219.6849399999774</v>
      </c>
      <c r="Q38">
        <f t="shared" si="4"/>
        <v>0</v>
      </c>
      <c r="R38">
        <f t="shared" si="5"/>
        <v>11210.530000000002</v>
      </c>
      <c r="S38">
        <f t="shared" si="5"/>
        <v>3779.9999999999995</v>
      </c>
      <c r="T38" s="4">
        <f t="shared" si="6"/>
        <v>12770.845060000025</v>
      </c>
      <c r="U38">
        <f t="shared" si="7"/>
        <v>620</v>
      </c>
      <c r="V38" s="6">
        <f t="shared" si="8"/>
        <v>2.0598137193548426E-2</v>
      </c>
    </row>
    <row r="39" spans="1:22" x14ac:dyDescent="0.2">
      <c r="A39" s="2">
        <v>640000</v>
      </c>
      <c r="B39">
        <f t="shared" si="0"/>
        <v>160000</v>
      </c>
      <c r="C39" s="2">
        <v>205018.43592000002</v>
      </c>
      <c r="D39">
        <v>207309.7236</v>
      </c>
      <c r="E39">
        <v>14098.8</v>
      </c>
      <c r="F39">
        <v>17140.16</v>
      </c>
      <c r="G39">
        <v>3959.9999999999995</v>
      </c>
      <c r="H39">
        <v>7049.4</v>
      </c>
      <c r="I39">
        <v>7049.4</v>
      </c>
      <c r="J39">
        <f t="shared" si="1"/>
        <v>14098.8</v>
      </c>
      <c r="K39">
        <v>2784</v>
      </c>
      <c r="L39">
        <v>2784</v>
      </c>
      <c r="M39">
        <f t="shared" si="2"/>
        <v>5568</v>
      </c>
      <c r="N39">
        <v>0</v>
      </c>
      <c r="O39" s="2">
        <v>640000</v>
      </c>
      <c r="P39">
        <f t="shared" si="3"/>
        <v>-2291.2876799999794</v>
      </c>
      <c r="Q39">
        <f t="shared" si="4"/>
        <v>0</v>
      </c>
      <c r="R39">
        <f t="shared" si="5"/>
        <v>11572.16</v>
      </c>
      <c r="S39">
        <f t="shared" si="5"/>
        <v>3959.9999999999995</v>
      </c>
      <c r="T39" s="4">
        <f t="shared" si="6"/>
        <v>13240.87232000002</v>
      </c>
      <c r="U39">
        <f t="shared" si="7"/>
        <v>640</v>
      </c>
      <c r="V39" s="6">
        <f t="shared" si="8"/>
        <v>2.0688863000000033E-2</v>
      </c>
    </row>
    <row r="40" spans="1:22" x14ac:dyDescent="0.2">
      <c r="A40" s="2">
        <v>660000</v>
      </c>
      <c r="B40">
        <f t="shared" si="0"/>
        <v>165000</v>
      </c>
      <c r="C40" s="2">
        <v>212832.38117999997</v>
      </c>
      <c r="D40">
        <v>215195.27159999998</v>
      </c>
      <c r="E40">
        <v>14098.8</v>
      </c>
      <c r="F40">
        <v>17675.79</v>
      </c>
      <c r="G40">
        <v>4140</v>
      </c>
      <c r="H40">
        <v>7049.4</v>
      </c>
      <c r="I40">
        <v>7049.4</v>
      </c>
      <c r="J40">
        <f t="shared" si="1"/>
        <v>14098.8</v>
      </c>
      <c r="K40">
        <v>2871</v>
      </c>
      <c r="L40">
        <v>2871</v>
      </c>
      <c r="M40">
        <f t="shared" si="2"/>
        <v>5742</v>
      </c>
      <c r="N40">
        <v>0</v>
      </c>
      <c r="O40" s="2">
        <v>660000</v>
      </c>
      <c r="P40">
        <f t="shared" si="3"/>
        <v>-2362.8904200000106</v>
      </c>
      <c r="Q40">
        <f t="shared" si="4"/>
        <v>0</v>
      </c>
      <c r="R40">
        <f t="shared" si="5"/>
        <v>11933.79</v>
      </c>
      <c r="S40">
        <f t="shared" si="5"/>
        <v>4140</v>
      </c>
      <c r="T40" s="4">
        <f t="shared" si="6"/>
        <v>13710.89957999999</v>
      </c>
      <c r="U40">
        <f t="shared" si="7"/>
        <v>660</v>
      </c>
      <c r="V40" s="6">
        <f t="shared" si="8"/>
        <v>2.0774090272727259E-2</v>
      </c>
    </row>
    <row r="41" spans="1:22" x14ac:dyDescent="0.2">
      <c r="A41" s="2">
        <v>680000</v>
      </c>
      <c r="B41">
        <f t="shared" si="0"/>
        <v>170000</v>
      </c>
      <c r="C41" s="2">
        <v>220646.32644</v>
      </c>
      <c r="D41">
        <v>223080.81959999999</v>
      </c>
      <c r="E41">
        <v>14098.8</v>
      </c>
      <c r="F41">
        <v>18211.420000000002</v>
      </c>
      <c r="G41">
        <v>4320</v>
      </c>
      <c r="H41">
        <v>7049.4</v>
      </c>
      <c r="I41">
        <v>7049.4</v>
      </c>
      <c r="J41">
        <f t="shared" si="1"/>
        <v>14098.8</v>
      </c>
      <c r="K41">
        <v>2958</v>
      </c>
      <c r="L41">
        <v>2958</v>
      </c>
      <c r="M41">
        <f t="shared" si="2"/>
        <v>5916</v>
      </c>
      <c r="N41">
        <v>36</v>
      </c>
      <c r="O41" s="2">
        <v>680000</v>
      </c>
      <c r="P41">
        <f t="shared" si="3"/>
        <v>-2434.4931599999836</v>
      </c>
      <c r="Q41">
        <f t="shared" si="4"/>
        <v>0</v>
      </c>
      <c r="R41">
        <f t="shared" si="5"/>
        <v>12295.420000000002</v>
      </c>
      <c r="S41">
        <f t="shared" si="5"/>
        <v>4284</v>
      </c>
      <c r="T41" s="4">
        <f t="shared" si="6"/>
        <v>14144.926840000018</v>
      </c>
      <c r="U41">
        <f t="shared" si="7"/>
        <v>680</v>
      </c>
      <c r="V41" s="6">
        <f t="shared" si="8"/>
        <v>2.0801363000000028E-2</v>
      </c>
    </row>
    <row r="42" spans="1:22" x14ac:dyDescent="0.2">
      <c r="A42" s="2">
        <v>700000</v>
      </c>
      <c r="B42">
        <f t="shared" si="0"/>
        <v>175000</v>
      </c>
      <c r="C42" s="2">
        <v>228460.27169999998</v>
      </c>
      <c r="D42">
        <v>230966.3676</v>
      </c>
      <c r="E42">
        <v>14098.8</v>
      </c>
      <c r="F42">
        <v>18747.05</v>
      </c>
      <c r="G42">
        <v>4500</v>
      </c>
      <c r="H42">
        <v>7049.4</v>
      </c>
      <c r="I42">
        <v>7049.4</v>
      </c>
      <c r="J42">
        <f t="shared" si="1"/>
        <v>14098.8</v>
      </c>
      <c r="K42">
        <v>3045</v>
      </c>
      <c r="L42">
        <v>3045</v>
      </c>
      <c r="M42">
        <f t="shared" si="2"/>
        <v>6090</v>
      </c>
      <c r="N42">
        <v>90</v>
      </c>
      <c r="O42" s="2">
        <v>700000</v>
      </c>
      <c r="P42">
        <f t="shared" si="3"/>
        <v>-2506.0959000000148</v>
      </c>
      <c r="Q42">
        <f t="shared" si="4"/>
        <v>0</v>
      </c>
      <c r="R42">
        <f t="shared" si="5"/>
        <v>12657.05</v>
      </c>
      <c r="S42">
        <f t="shared" si="5"/>
        <v>4410</v>
      </c>
      <c r="T42" s="4">
        <f t="shared" si="6"/>
        <v>14560.954099999984</v>
      </c>
      <c r="U42">
        <f t="shared" si="7"/>
        <v>700</v>
      </c>
      <c r="V42" s="6">
        <f t="shared" si="8"/>
        <v>2.0801362999999979E-2</v>
      </c>
    </row>
    <row r="43" spans="1:22" x14ac:dyDescent="0.2">
      <c r="A43" s="2">
        <v>720000</v>
      </c>
      <c r="B43">
        <f t="shared" si="0"/>
        <v>180000</v>
      </c>
      <c r="C43" s="2">
        <v>236274.21695999999</v>
      </c>
      <c r="D43">
        <v>238851.91560000001</v>
      </c>
      <c r="E43">
        <v>14098.8</v>
      </c>
      <c r="F43">
        <v>19282.68</v>
      </c>
      <c r="G43">
        <v>4680</v>
      </c>
      <c r="H43">
        <v>7049.4</v>
      </c>
      <c r="I43">
        <v>7049.4</v>
      </c>
      <c r="J43">
        <f t="shared" si="1"/>
        <v>14098.8</v>
      </c>
      <c r="K43">
        <v>3132</v>
      </c>
      <c r="L43">
        <v>3132</v>
      </c>
      <c r="M43">
        <f t="shared" si="2"/>
        <v>6264</v>
      </c>
      <c r="N43">
        <v>144</v>
      </c>
      <c r="O43" s="2">
        <v>720000</v>
      </c>
      <c r="P43">
        <f t="shared" si="3"/>
        <v>-2577.6986400000169</v>
      </c>
      <c r="Q43">
        <f t="shared" si="4"/>
        <v>0</v>
      </c>
      <c r="R43">
        <f t="shared" si="5"/>
        <v>13018.68</v>
      </c>
      <c r="S43">
        <f t="shared" si="5"/>
        <v>4536</v>
      </c>
      <c r="T43" s="4">
        <f t="shared" si="6"/>
        <v>14976.981359999983</v>
      </c>
      <c r="U43">
        <f t="shared" si="7"/>
        <v>720</v>
      </c>
      <c r="V43" s="6">
        <f t="shared" si="8"/>
        <v>2.0801362999999976E-2</v>
      </c>
    </row>
    <row r="44" spans="1:22" x14ac:dyDescent="0.2">
      <c r="A44" s="2">
        <v>740000</v>
      </c>
      <c r="B44">
        <f t="shared" si="0"/>
        <v>185000</v>
      </c>
      <c r="C44" s="2">
        <v>244088.16222</v>
      </c>
      <c r="D44">
        <v>246737.46360000002</v>
      </c>
      <c r="E44">
        <v>14098.8</v>
      </c>
      <c r="F44">
        <v>19818.310000000001</v>
      </c>
      <c r="G44">
        <v>4860</v>
      </c>
      <c r="H44">
        <v>7049.4</v>
      </c>
      <c r="I44">
        <v>7049.4</v>
      </c>
      <c r="J44">
        <f t="shared" si="1"/>
        <v>14098.8</v>
      </c>
      <c r="K44">
        <v>3219</v>
      </c>
      <c r="L44">
        <v>3219</v>
      </c>
      <c r="M44">
        <f t="shared" si="2"/>
        <v>6438</v>
      </c>
      <c r="N44">
        <v>197.99999999999997</v>
      </c>
      <c r="O44" s="2">
        <v>740000</v>
      </c>
      <c r="P44">
        <f t="shared" si="3"/>
        <v>-2649.301380000019</v>
      </c>
      <c r="Q44">
        <f t="shared" si="4"/>
        <v>0</v>
      </c>
      <c r="R44">
        <f t="shared" si="5"/>
        <v>13380.310000000001</v>
      </c>
      <c r="S44">
        <f t="shared" si="5"/>
        <v>4662</v>
      </c>
      <c r="T44" s="4">
        <f t="shared" si="6"/>
        <v>15393.008619999982</v>
      </c>
      <c r="U44">
        <f t="shared" si="7"/>
        <v>740</v>
      </c>
      <c r="V44" s="6">
        <f t="shared" si="8"/>
        <v>2.0801362999999976E-2</v>
      </c>
    </row>
    <row r="45" spans="1:22" x14ac:dyDescent="0.2">
      <c r="A45" s="2">
        <v>760000</v>
      </c>
      <c r="B45">
        <f t="shared" si="0"/>
        <v>190000</v>
      </c>
      <c r="C45" s="2">
        <v>251902.10748000001</v>
      </c>
      <c r="D45">
        <v>254623.0116</v>
      </c>
      <c r="E45">
        <v>14098.8</v>
      </c>
      <c r="F45">
        <v>20353.940000000002</v>
      </c>
      <c r="G45">
        <v>5040</v>
      </c>
      <c r="H45">
        <v>7049.4</v>
      </c>
      <c r="I45">
        <v>7049.4</v>
      </c>
      <c r="J45">
        <f t="shared" si="1"/>
        <v>14098.8</v>
      </c>
      <c r="K45">
        <v>3306</v>
      </c>
      <c r="L45">
        <v>3306</v>
      </c>
      <c r="M45">
        <f t="shared" si="2"/>
        <v>6612</v>
      </c>
      <c r="N45">
        <v>251.99999999999997</v>
      </c>
      <c r="O45" s="2">
        <v>760000</v>
      </c>
      <c r="P45">
        <f t="shared" si="3"/>
        <v>-2720.904119999992</v>
      </c>
      <c r="Q45">
        <f t="shared" si="4"/>
        <v>0</v>
      </c>
      <c r="R45">
        <f t="shared" si="5"/>
        <v>13741.940000000002</v>
      </c>
      <c r="S45">
        <f t="shared" si="5"/>
        <v>4788</v>
      </c>
      <c r="T45" s="4">
        <f t="shared" si="6"/>
        <v>15809.03588000001</v>
      </c>
      <c r="U45">
        <f t="shared" si="7"/>
        <v>760</v>
      </c>
      <c r="V45" s="6">
        <f t="shared" si="8"/>
        <v>2.0801363000000014E-2</v>
      </c>
    </row>
    <row r="46" spans="1:22" x14ac:dyDescent="0.2">
      <c r="A46" s="2">
        <v>780000</v>
      </c>
      <c r="B46">
        <f t="shared" si="0"/>
        <v>195000</v>
      </c>
      <c r="C46" s="2">
        <v>259716.05273999998</v>
      </c>
      <c r="D46">
        <v>262508.55960000004</v>
      </c>
      <c r="E46">
        <v>14098.8</v>
      </c>
      <c r="F46">
        <v>20889.57</v>
      </c>
      <c r="G46">
        <v>5220</v>
      </c>
      <c r="H46">
        <v>7049.4</v>
      </c>
      <c r="I46">
        <v>7049.4</v>
      </c>
      <c r="J46">
        <f t="shared" si="1"/>
        <v>14098.8</v>
      </c>
      <c r="K46">
        <v>3393</v>
      </c>
      <c r="L46">
        <v>3393</v>
      </c>
      <c r="M46">
        <f t="shared" si="2"/>
        <v>6786</v>
      </c>
      <c r="N46">
        <v>306</v>
      </c>
      <c r="O46" s="2">
        <v>780000</v>
      </c>
      <c r="P46">
        <f t="shared" si="3"/>
        <v>-2792.5068600000523</v>
      </c>
      <c r="Q46">
        <f t="shared" si="4"/>
        <v>0</v>
      </c>
      <c r="R46">
        <f t="shared" si="5"/>
        <v>14103.57</v>
      </c>
      <c r="S46">
        <f t="shared" si="5"/>
        <v>4914</v>
      </c>
      <c r="T46" s="4">
        <f t="shared" si="6"/>
        <v>16225.063139999947</v>
      </c>
      <c r="U46">
        <f t="shared" si="7"/>
        <v>780</v>
      </c>
      <c r="V46" s="6">
        <f>T46/A46</f>
        <v>2.0801362999999934E-2</v>
      </c>
    </row>
    <row r="47" spans="1:22" x14ac:dyDescent="0.2">
      <c r="A47" s="2">
        <v>800000</v>
      </c>
      <c r="B47">
        <f t="shared" si="0"/>
        <v>200000</v>
      </c>
      <c r="C47" s="2">
        <v>267529.99800000002</v>
      </c>
      <c r="D47">
        <v>270394.10759999999</v>
      </c>
      <c r="E47">
        <v>14098.8</v>
      </c>
      <c r="F47">
        <v>21425.200000000001</v>
      </c>
      <c r="G47">
        <v>5400</v>
      </c>
      <c r="H47">
        <v>7049.4</v>
      </c>
      <c r="I47">
        <v>7049.4</v>
      </c>
      <c r="J47">
        <f t="shared" si="1"/>
        <v>14098.8</v>
      </c>
      <c r="K47">
        <v>3480</v>
      </c>
      <c r="L47">
        <v>3480</v>
      </c>
      <c r="M47">
        <f t="shared" si="2"/>
        <v>6960</v>
      </c>
      <c r="N47">
        <v>360</v>
      </c>
      <c r="O47" s="2">
        <v>800000</v>
      </c>
      <c r="P47">
        <f t="shared" si="3"/>
        <v>-2864.109599999967</v>
      </c>
      <c r="Q47">
        <f t="shared" si="4"/>
        <v>0</v>
      </c>
      <c r="R47">
        <f t="shared" si="5"/>
        <v>14465.2</v>
      </c>
      <c r="S47">
        <f t="shared" si="5"/>
        <v>5040</v>
      </c>
      <c r="T47" s="4">
        <f t="shared" si="6"/>
        <v>16641.090400000034</v>
      </c>
      <c r="U47">
        <f t="shared" si="7"/>
        <v>800</v>
      </c>
      <c r="V47" s="6">
        <f t="shared" si="8"/>
        <v>2.0801363000000041E-2</v>
      </c>
    </row>
    <row r="48" spans="1:22" x14ac:dyDescent="0.2">
      <c r="A48" s="2">
        <v>820000</v>
      </c>
      <c r="B48">
        <f t="shared" si="0"/>
        <v>205000</v>
      </c>
      <c r="C48" s="2">
        <v>275343.94326000003</v>
      </c>
      <c r="D48">
        <v>278279.6556</v>
      </c>
      <c r="E48">
        <v>14098.8</v>
      </c>
      <c r="F48">
        <v>21960.83</v>
      </c>
      <c r="G48">
        <v>5580</v>
      </c>
      <c r="H48">
        <v>7049.4</v>
      </c>
      <c r="I48">
        <v>7049.4</v>
      </c>
      <c r="J48">
        <f t="shared" si="1"/>
        <v>14098.8</v>
      </c>
      <c r="K48">
        <v>3567</v>
      </c>
      <c r="L48">
        <v>3567</v>
      </c>
      <c r="M48">
        <f t="shared" si="2"/>
        <v>7134</v>
      </c>
      <c r="N48">
        <v>413.99999999999994</v>
      </c>
      <c r="O48" s="2">
        <v>820000</v>
      </c>
      <c r="P48">
        <f t="shared" si="3"/>
        <v>-2935.7123399999691</v>
      </c>
      <c r="Q48">
        <f t="shared" si="4"/>
        <v>0</v>
      </c>
      <c r="R48">
        <f t="shared" si="5"/>
        <v>14826.830000000002</v>
      </c>
      <c r="S48">
        <f t="shared" si="5"/>
        <v>5166</v>
      </c>
      <c r="T48" s="4">
        <f t="shared" si="6"/>
        <v>17057.117660000033</v>
      </c>
      <c r="U48">
        <f t="shared" si="7"/>
        <v>820</v>
      </c>
      <c r="V48" s="6">
        <f t="shared" si="8"/>
        <v>2.0801363000000041E-2</v>
      </c>
    </row>
    <row r="49" spans="1:22" x14ac:dyDescent="0.2">
      <c r="A49" s="2">
        <v>840000</v>
      </c>
      <c r="B49">
        <f t="shared" si="0"/>
        <v>210000</v>
      </c>
      <c r="C49" s="2">
        <v>283157.88852000004</v>
      </c>
      <c r="D49">
        <v>286165.20360000001</v>
      </c>
      <c r="E49">
        <v>14098.8</v>
      </c>
      <c r="F49">
        <v>22496.460000000003</v>
      </c>
      <c r="G49">
        <v>5760</v>
      </c>
      <c r="H49">
        <v>7049.4</v>
      </c>
      <c r="I49">
        <v>7049.4</v>
      </c>
      <c r="J49">
        <f t="shared" si="1"/>
        <v>14098.8</v>
      </c>
      <c r="K49">
        <v>3654</v>
      </c>
      <c r="L49">
        <v>3654</v>
      </c>
      <c r="M49">
        <f t="shared" si="2"/>
        <v>7308</v>
      </c>
      <c r="N49">
        <v>467.99999999999994</v>
      </c>
      <c r="O49" s="2">
        <v>840000</v>
      </c>
      <c r="P49">
        <f t="shared" si="3"/>
        <v>-3007.3150799999712</v>
      </c>
      <c r="Q49">
        <f t="shared" si="4"/>
        <v>0</v>
      </c>
      <c r="R49">
        <f t="shared" si="5"/>
        <v>15188.460000000003</v>
      </c>
      <c r="S49">
        <f t="shared" si="5"/>
        <v>5292</v>
      </c>
      <c r="T49" s="4">
        <f t="shared" si="6"/>
        <v>17473.144920000032</v>
      </c>
      <c r="U49">
        <f t="shared" si="7"/>
        <v>840</v>
      </c>
      <c r="V49" s="6">
        <f t="shared" si="8"/>
        <v>2.0801363000000038E-2</v>
      </c>
    </row>
    <row r="50" spans="1:22" x14ac:dyDescent="0.2">
      <c r="A50" s="2">
        <v>860000</v>
      </c>
      <c r="B50">
        <f t="shared" si="0"/>
        <v>215000</v>
      </c>
      <c r="C50" s="2">
        <v>290971.83377999999</v>
      </c>
      <c r="D50">
        <v>294050.75159999996</v>
      </c>
      <c r="E50">
        <v>14098.8</v>
      </c>
      <c r="F50">
        <v>23032.09</v>
      </c>
      <c r="G50">
        <v>5940</v>
      </c>
      <c r="H50">
        <v>7049.4</v>
      </c>
      <c r="I50">
        <v>7049.4</v>
      </c>
      <c r="J50">
        <f t="shared" si="1"/>
        <v>14098.8</v>
      </c>
      <c r="K50">
        <v>3741</v>
      </c>
      <c r="L50">
        <v>3741</v>
      </c>
      <c r="M50">
        <f t="shared" si="2"/>
        <v>7482</v>
      </c>
      <c r="N50">
        <v>522</v>
      </c>
      <c r="O50" s="2">
        <v>860000</v>
      </c>
      <c r="P50">
        <f t="shared" si="3"/>
        <v>-3078.9178199999733</v>
      </c>
      <c r="Q50">
        <f t="shared" si="4"/>
        <v>0</v>
      </c>
      <c r="R50">
        <f t="shared" si="5"/>
        <v>15550.09</v>
      </c>
      <c r="S50">
        <f t="shared" si="5"/>
        <v>5418</v>
      </c>
      <c r="T50" s="4">
        <f t="shared" si="6"/>
        <v>17889.172180000027</v>
      </c>
      <c r="U50">
        <f t="shared" si="7"/>
        <v>860</v>
      </c>
      <c r="V50" s="6">
        <f t="shared" si="8"/>
        <v>2.0801363000000031E-2</v>
      </c>
    </row>
    <row r="51" spans="1:22" x14ac:dyDescent="0.2">
      <c r="A51" s="2">
        <v>880000</v>
      </c>
      <c r="B51">
        <f t="shared" si="0"/>
        <v>220000</v>
      </c>
      <c r="C51" s="2">
        <v>298785.77903999999</v>
      </c>
      <c r="D51">
        <v>301936.29960000003</v>
      </c>
      <c r="E51">
        <v>14098.8</v>
      </c>
      <c r="F51">
        <v>23567.72</v>
      </c>
      <c r="G51">
        <v>6119.9999999999991</v>
      </c>
      <c r="H51">
        <v>7049.4</v>
      </c>
      <c r="I51">
        <v>7049.4</v>
      </c>
      <c r="J51">
        <f t="shared" si="1"/>
        <v>14098.8</v>
      </c>
      <c r="K51">
        <v>3828</v>
      </c>
      <c r="L51">
        <v>3828</v>
      </c>
      <c r="M51">
        <f t="shared" si="2"/>
        <v>7656</v>
      </c>
      <c r="N51">
        <v>576</v>
      </c>
      <c r="O51" s="2">
        <v>880000</v>
      </c>
      <c r="P51">
        <f t="shared" si="3"/>
        <v>-3150.5205600000336</v>
      </c>
      <c r="Q51">
        <f t="shared" si="4"/>
        <v>0</v>
      </c>
      <c r="R51">
        <f t="shared" si="5"/>
        <v>15911.720000000001</v>
      </c>
      <c r="S51">
        <f t="shared" si="5"/>
        <v>5543.9999999999991</v>
      </c>
      <c r="T51" s="4">
        <f t="shared" si="6"/>
        <v>18305.199439999968</v>
      </c>
      <c r="U51">
        <f t="shared" si="7"/>
        <v>880</v>
      </c>
      <c r="V51" s="6">
        <f t="shared" si="8"/>
        <v>2.0801362999999962E-2</v>
      </c>
    </row>
    <row r="52" spans="1:22" x14ac:dyDescent="0.2">
      <c r="A52" s="2">
        <v>900000</v>
      </c>
      <c r="B52">
        <f t="shared" si="0"/>
        <v>225000</v>
      </c>
      <c r="C52" s="2">
        <v>306599.7243</v>
      </c>
      <c r="D52">
        <v>309821.84759999998</v>
      </c>
      <c r="E52">
        <v>14098.8</v>
      </c>
      <c r="F52">
        <v>24103.350000000002</v>
      </c>
      <c r="G52">
        <v>6299.9999999999991</v>
      </c>
      <c r="H52">
        <v>7049.4</v>
      </c>
      <c r="I52">
        <v>7049.4</v>
      </c>
      <c r="J52">
        <f t="shared" si="1"/>
        <v>14098.8</v>
      </c>
      <c r="K52">
        <v>3915</v>
      </c>
      <c r="L52">
        <v>3915</v>
      </c>
      <c r="M52">
        <f t="shared" si="2"/>
        <v>7830</v>
      </c>
      <c r="N52">
        <v>630</v>
      </c>
      <c r="O52" s="2">
        <v>900000</v>
      </c>
      <c r="P52">
        <f t="shared" si="3"/>
        <v>-3222.1232999999775</v>
      </c>
      <c r="Q52">
        <f t="shared" si="4"/>
        <v>0</v>
      </c>
      <c r="R52">
        <f t="shared" si="5"/>
        <v>16273.350000000002</v>
      </c>
      <c r="S52">
        <f t="shared" si="5"/>
        <v>5669.9999999999991</v>
      </c>
      <c r="T52" s="4">
        <f t="shared" si="6"/>
        <v>18721.226700000025</v>
      </c>
      <c r="U52">
        <f t="shared" si="7"/>
        <v>900</v>
      </c>
      <c r="V52" s="6">
        <f t="shared" si="8"/>
        <v>2.0801363000000028E-2</v>
      </c>
    </row>
    <row r="53" spans="1:22" x14ac:dyDescent="0.2">
      <c r="A53" s="2">
        <v>920000</v>
      </c>
      <c r="B53">
        <f t="shared" si="0"/>
        <v>230000</v>
      </c>
      <c r="C53" s="2">
        <v>314413.66956000001</v>
      </c>
      <c r="D53">
        <v>317707.39559999999</v>
      </c>
      <c r="E53">
        <v>14098.8</v>
      </c>
      <c r="F53">
        <v>24638.98</v>
      </c>
      <c r="G53">
        <v>6479.9999999999991</v>
      </c>
      <c r="H53">
        <v>7049.4</v>
      </c>
      <c r="I53">
        <v>7049.4</v>
      </c>
      <c r="J53">
        <f t="shared" si="1"/>
        <v>14098.8</v>
      </c>
      <c r="K53">
        <v>4002</v>
      </c>
      <c r="L53">
        <v>4002</v>
      </c>
      <c r="M53">
        <f t="shared" si="2"/>
        <v>8004</v>
      </c>
      <c r="N53">
        <v>684</v>
      </c>
      <c r="O53" s="2">
        <v>920000</v>
      </c>
      <c r="P53">
        <f t="shared" si="3"/>
        <v>-3293.7260399999795</v>
      </c>
      <c r="Q53">
        <f t="shared" si="4"/>
        <v>0</v>
      </c>
      <c r="R53">
        <f t="shared" si="5"/>
        <v>16634.98</v>
      </c>
      <c r="S53">
        <f t="shared" si="5"/>
        <v>5795.9999999999991</v>
      </c>
      <c r="T53" s="4">
        <f t="shared" si="6"/>
        <v>19137.25396000002</v>
      </c>
      <c r="U53">
        <f t="shared" si="7"/>
        <v>920</v>
      </c>
      <c r="V53" s="6">
        <f t="shared" si="8"/>
        <v>2.0801363000000021E-2</v>
      </c>
    </row>
    <row r="54" spans="1:22" x14ac:dyDescent="0.2">
      <c r="A54" s="2">
        <v>940000</v>
      </c>
      <c r="B54">
        <f t="shared" si="0"/>
        <v>235000</v>
      </c>
      <c r="C54" s="2">
        <v>322227.61482000002</v>
      </c>
      <c r="D54">
        <v>325592.9436</v>
      </c>
      <c r="E54">
        <v>14098.8</v>
      </c>
      <c r="F54">
        <v>25174.61</v>
      </c>
      <c r="G54">
        <v>6659.9999999999991</v>
      </c>
      <c r="H54">
        <v>7049.4</v>
      </c>
      <c r="I54">
        <v>7049.4</v>
      </c>
      <c r="J54">
        <f t="shared" si="1"/>
        <v>14098.8</v>
      </c>
      <c r="K54">
        <v>4089</v>
      </c>
      <c r="L54">
        <v>4089</v>
      </c>
      <c r="M54">
        <f t="shared" si="2"/>
        <v>8178</v>
      </c>
      <c r="N54">
        <v>738</v>
      </c>
      <c r="O54" s="2">
        <v>940000</v>
      </c>
      <c r="P54">
        <f t="shared" si="3"/>
        <v>-3365.3287799999816</v>
      </c>
      <c r="Q54">
        <f t="shared" si="4"/>
        <v>0</v>
      </c>
      <c r="R54">
        <f t="shared" si="5"/>
        <v>16996.61</v>
      </c>
      <c r="S54">
        <f t="shared" si="5"/>
        <v>5921.9999999999991</v>
      </c>
      <c r="T54" s="4">
        <f t="shared" si="6"/>
        <v>19553.281220000019</v>
      </c>
      <c r="U54">
        <f t="shared" si="7"/>
        <v>940</v>
      </c>
      <c r="V54" s="6">
        <f t="shared" si="8"/>
        <v>2.0801363000000021E-2</v>
      </c>
    </row>
    <row r="55" spans="1:22" x14ac:dyDescent="0.2">
      <c r="A55" s="2">
        <v>960000</v>
      </c>
      <c r="B55">
        <f t="shared" si="0"/>
        <v>240000</v>
      </c>
      <c r="C55" s="2">
        <v>330041.56007999997</v>
      </c>
      <c r="D55">
        <v>333478.49160000001</v>
      </c>
      <c r="E55">
        <v>14098.8</v>
      </c>
      <c r="F55">
        <v>25710.240000000002</v>
      </c>
      <c r="G55">
        <v>6839.9999999999991</v>
      </c>
      <c r="H55">
        <v>7049.4</v>
      </c>
      <c r="I55">
        <v>7049.4</v>
      </c>
      <c r="J55">
        <f t="shared" si="1"/>
        <v>14098.8</v>
      </c>
      <c r="K55">
        <v>4176</v>
      </c>
      <c r="L55">
        <v>4176</v>
      </c>
      <c r="M55">
        <f t="shared" si="2"/>
        <v>8352</v>
      </c>
      <c r="N55">
        <v>791.99999999999989</v>
      </c>
      <c r="O55" s="2">
        <v>960000</v>
      </c>
      <c r="P55">
        <f t="shared" si="3"/>
        <v>-3436.9315200000419</v>
      </c>
      <c r="Q55">
        <f t="shared" si="4"/>
        <v>0</v>
      </c>
      <c r="R55">
        <f t="shared" si="5"/>
        <v>17358.240000000002</v>
      </c>
      <c r="S55">
        <f t="shared" si="5"/>
        <v>6047.9999999999991</v>
      </c>
      <c r="T55" s="4">
        <f t="shared" si="6"/>
        <v>19969.30847999996</v>
      </c>
      <c r="U55">
        <f t="shared" si="7"/>
        <v>960</v>
      </c>
      <c r="V55" s="6">
        <f t="shared" si="8"/>
        <v>2.0801362999999958E-2</v>
      </c>
    </row>
    <row r="56" spans="1:22" x14ac:dyDescent="0.2">
      <c r="A56" s="2">
        <v>980000</v>
      </c>
      <c r="B56">
        <f t="shared" si="0"/>
        <v>245000</v>
      </c>
      <c r="C56" s="2">
        <v>337855.50534000003</v>
      </c>
      <c r="D56">
        <v>341364.03960000002</v>
      </c>
      <c r="E56">
        <v>14098.8</v>
      </c>
      <c r="F56">
        <v>26245.870000000003</v>
      </c>
      <c r="G56">
        <v>7019.9999999999991</v>
      </c>
      <c r="H56">
        <v>7049.4</v>
      </c>
      <c r="I56">
        <v>7049.4</v>
      </c>
      <c r="J56">
        <f t="shared" si="1"/>
        <v>14098.8</v>
      </c>
      <c r="K56">
        <v>4263</v>
      </c>
      <c r="L56">
        <v>4263</v>
      </c>
      <c r="M56">
        <f t="shared" si="2"/>
        <v>8526</v>
      </c>
      <c r="N56">
        <v>845.99999999999989</v>
      </c>
      <c r="O56" s="2">
        <v>980000</v>
      </c>
      <c r="P56">
        <f t="shared" si="3"/>
        <v>-3508.5342599999858</v>
      </c>
      <c r="Q56">
        <f t="shared" si="4"/>
        <v>0</v>
      </c>
      <c r="R56">
        <f t="shared" si="5"/>
        <v>17719.870000000003</v>
      </c>
      <c r="S56">
        <f t="shared" si="5"/>
        <v>6173.9999999999991</v>
      </c>
      <c r="T56" s="4">
        <f t="shared" si="6"/>
        <v>20385.335740000017</v>
      </c>
      <c r="U56">
        <f t="shared" si="7"/>
        <v>980</v>
      </c>
      <c r="V56" s="6">
        <f t="shared" si="8"/>
        <v>2.0801363000000017E-2</v>
      </c>
    </row>
    <row r="57" spans="1:22" x14ac:dyDescent="0.2">
      <c r="A57" s="2">
        <v>1000000</v>
      </c>
      <c r="B57">
        <f t="shared" si="0"/>
        <v>250000</v>
      </c>
      <c r="C57" s="2">
        <v>345669.45059999998</v>
      </c>
      <c r="D57">
        <v>349249.58759999997</v>
      </c>
      <c r="E57">
        <v>14098.8</v>
      </c>
      <c r="F57">
        <v>26781.5</v>
      </c>
      <c r="G57">
        <v>7199.9999999999991</v>
      </c>
      <c r="H57">
        <v>7049.4</v>
      </c>
      <c r="I57">
        <v>7049.4</v>
      </c>
      <c r="J57">
        <f t="shared" si="1"/>
        <v>14098.8</v>
      </c>
      <c r="K57">
        <v>4350</v>
      </c>
      <c r="L57">
        <v>4350</v>
      </c>
      <c r="M57">
        <f t="shared" si="2"/>
        <v>8700</v>
      </c>
      <c r="N57">
        <v>899.99999999999989</v>
      </c>
      <c r="O57" s="2">
        <v>1000000</v>
      </c>
      <c r="P57">
        <f t="shared" si="3"/>
        <v>-3580.1369999999879</v>
      </c>
      <c r="Q57">
        <f t="shared" si="4"/>
        <v>0</v>
      </c>
      <c r="R57">
        <f t="shared" si="5"/>
        <v>18081.5</v>
      </c>
      <c r="S57">
        <f t="shared" si="5"/>
        <v>6299.9999999999991</v>
      </c>
      <c r="T57" s="4">
        <f t="shared" si="6"/>
        <v>20801.363000000012</v>
      </c>
      <c r="U57">
        <f t="shared" si="7"/>
        <v>1000</v>
      </c>
      <c r="V57" s="6">
        <f t="shared" si="8"/>
        <v>2.0801363000000014E-2</v>
      </c>
    </row>
    <row r="58" spans="1:22" x14ac:dyDescent="0.2">
      <c r="U58">
        <f t="shared" si="7"/>
        <v>0</v>
      </c>
    </row>
  </sheetData>
  <pageMargins left="0.75" right="0.75" top="1" bottom="1" header="0.5" footer="0.5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sqref="A1:D1"/>
    </sheetView>
  </sheetViews>
  <sheetFormatPr defaultColWidth="8.7109375" defaultRowHeight="12.75" x14ac:dyDescent="0.2"/>
  <cols>
    <col min="1" max="1" width="19.42578125" customWidth="1"/>
    <col min="2" max="2" width="14.5703125" customWidth="1"/>
    <col min="3" max="3" width="14" bestFit="1" customWidth="1"/>
    <col min="4" max="4" width="30.42578125" bestFit="1" customWidth="1"/>
    <col min="6" max="6" width="9.85546875" customWidth="1"/>
  </cols>
  <sheetData>
    <row r="1" spans="1:6" ht="15.75" x14ac:dyDescent="0.25">
      <c r="A1" s="110" t="s">
        <v>115</v>
      </c>
      <c r="B1" s="111"/>
      <c r="C1" s="111"/>
      <c r="D1" s="112"/>
    </row>
    <row r="2" spans="1:6" ht="15.75" x14ac:dyDescent="0.25">
      <c r="A2" s="120" t="s">
        <v>56</v>
      </c>
      <c r="B2" s="121"/>
      <c r="C2" s="118" t="s">
        <v>57</v>
      </c>
      <c r="D2" s="119"/>
    </row>
    <row r="3" spans="1:6" ht="15.75" x14ac:dyDescent="0.25">
      <c r="A3" s="118"/>
      <c r="B3" s="119"/>
      <c r="C3" s="73" t="s">
        <v>46</v>
      </c>
      <c r="D3" s="74" t="s">
        <v>58</v>
      </c>
    </row>
    <row r="4" spans="1:6" ht="15.75" x14ac:dyDescent="0.25">
      <c r="A4" s="57">
        <v>0</v>
      </c>
      <c r="B4" s="57">
        <v>9275</v>
      </c>
      <c r="C4" s="59">
        <v>0</v>
      </c>
      <c r="D4" s="58">
        <v>0.1</v>
      </c>
    </row>
    <row r="5" spans="1:6" ht="15.75" x14ac:dyDescent="0.25">
      <c r="A5" s="57">
        <f>B4</f>
        <v>9275</v>
      </c>
      <c r="B5" s="57">
        <v>37650</v>
      </c>
      <c r="C5" s="59">
        <f>B4*D4</f>
        <v>927.5</v>
      </c>
      <c r="D5" s="58">
        <v>0.15</v>
      </c>
    </row>
    <row r="6" spans="1:6" ht="15.75" x14ac:dyDescent="0.25">
      <c r="A6" s="57">
        <f t="shared" ref="A6:A9" si="0">B5</f>
        <v>37650</v>
      </c>
      <c r="B6" s="57">
        <v>91150</v>
      </c>
      <c r="C6" s="59">
        <f>(B5-A5)*D5+C5</f>
        <v>5183.75</v>
      </c>
      <c r="D6" s="58">
        <v>0.25</v>
      </c>
    </row>
    <row r="7" spans="1:6" ht="15.75" x14ac:dyDescent="0.25">
      <c r="A7" s="57">
        <f t="shared" si="0"/>
        <v>91150</v>
      </c>
      <c r="B7" s="57">
        <v>190150</v>
      </c>
      <c r="C7" s="59">
        <f>(B6-A6)*D6+C6</f>
        <v>18558.75</v>
      </c>
      <c r="D7" s="58">
        <v>0.28000000000000003</v>
      </c>
    </row>
    <row r="8" spans="1:6" ht="15.75" x14ac:dyDescent="0.25">
      <c r="A8" s="57">
        <f t="shared" si="0"/>
        <v>190150</v>
      </c>
      <c r="B8" s="57">
        <v>413350</v>
      </c>
      <c r="C8" s="59">
        <f>(B7-A7)*D7+C7</f>
        <v>46278.75</v>
      </c>
      <c r="D8" s="58">
        <v>0.33</v>
      </c>
    </row>
    <row r="9" spans="1:6" ht="15.75" x14ac:dyDescent="0.25">
      <c r="A9" s="57">
        <f t="shared" si="0"/>
        <v>413350</v>
      </c>
      <c r="B9" s="57">
        <v>415050</v>
      </c>
      <c r="C9" s="59">
        <f>(B8-A8)*D8+C8</f>
        <v>119934.75</v>
      </c>
      <c r="D9" s="58">
        <v>0.35</v>
      </c>
    </row>
    <row r="10" spans="1:6" ht="15.75" x14ac:dyDescent="0.25">
      <c r="A10" s="57">
        <f>B9</f>
        <v>415050</v>
      </c>
      <c r="B10" s="57">
        <v>0</v>
      </c>
      <c r="C10" s="59">
        <f>(B9-A9)*D9+C9</f>
        <v>120529.75</v>
      </c>
      <c r="D10" s="58">
        <v>0.39600000000000002</v>
      </c>
    </row>
    <row r="12" spans="1:6" ht="15.75" x14ac:dyDescent="0.25">
      <c r="A12" s="110" t="s">
        <v>59</v>
      </c>
      <c r="B12" s="111"/>
      <c r="C12" s="111"/>
      <c r="D12" s="117"/>
    </row>
    <row r="13" spans="1:6" ht="15.75" x14ac:dyDescent="0.25">
      <c r="A13" s="113" t="s">
        <v>60</v>
      </c>
      <c r="B13" s="113"/>
      <c r="C13" s="113"/>
      <c r="D13" s="57">
        <v>118500</v>
      </c>
    </row>
    <row r="14" spans="1:6" ht="15.75" x14ac:dyDescent="0.25">
      <c r="A14" s="113" t="s">
        <v>61</v>
      </c>
      <c r="B14" s="113"/>
      <c r="C14" s="113"/>
      <c r="D14" s="60">
        <v>0.92349999999999999</v>
      </c>
    </row>
    <row r="15" spans="1:6" ht="15.75" x14ac:dyDescent="0.25">
      <c r="A15" s="113" t="s">
        <v>62</v>
      </c>
      <c r="B15" s="113"/>
      <c r="C15" s="113"/>
      <c r="D15" s="60">
        <v>0.124</v>
      </c>
      <c r="F15" s="79"/>
    </row>
    <row r="16" spans="1:6" ht="15.75" x14ac:dyDescent="0.25">
      <c r="A16" s="113" t="s">
        <v>64</v>
      </c>
      <c r="B16" s="113"/>
      <c r="C16" s="113"/>
      <c r="D16" s="60">
        <v>2.9000000000000001E-2</v>
      </c>
    </row>
    <row r="17" spans="1:4" ht="15.75" x14ac:dyDescent="0.25">
      <c r="A17" s="114" t="s">
        <v>63</v>
      </c>
      <c r="B17" s="115"/>
      <c r="C17" s="116"/>
      <c r="D17" s="60">
        <f>D15+D16</f>
        <v>0.153</v>
      </c>
    </row>
    <row r="18" spans="1:4" ht="15.75" x14ac:dyDescent="0.25">
      <c r="A18" s="72"/>
      <c r="B18" s="72"/>
      <c r="C18" s="72"/>
      <c r="D18" s="77"/>
    </row>
    <row r="19" spans="1:4" ht="15.75" x14ac:dyDescent="0.25">
      <c r="A19" s="110" t="s">
        <v>118</v>
      </c>
      <c r="B19" s="111"/>
      <c r="C19" s="111"/>
      <c r="D19" s="112"/>
    </row>
    <row r="20" spans="1:4" ht="15.75" x14ac:dyDescent="0.25">
      <c r="A20" s="114" t="s">
        <v>47</v>
      </c>
      <c r="B20" s="115"/>
      <c r="C20" s="115"/>
      <c r="D20" s="116"/>
    </row>
    <row r="21" spans="1:4" ht="15.75" x14ac:dyDescent="0.25">
      <c r="A21" s="107" t="s">
        <v>48</v>
      </c>
      <c r="B21" s="108"/>
      <c r="C21" s="109"/>
      <c r="D21" s="57">
        <v>200000</v>
      </c>
    </row>
    <row r="22" spans="1:4" ht="15.75" x14ac:dyDescent="0.25">
      <c r="A22" s="107" t="s">
        <v>65</v>
      </c>
      <c r="B22" s="108"/>
      <c r="C22" s="109"/>
      <c r="D22" s="57">
        <v>250000</v>
      </c>
    </row>
    <row r="23" spans="1:4" ht="15.75" x14ac:dyDescent="0.2">
      <c r="A23" s="61" t="s">
        <v>66</v>
      </c>
      <c r="B23" s="75"/>
      <c r="C23" s="76"/>
      <c r="D23" s="62">
        <v>8.9999999999999993E-3</v>
      </c>
    </row>
  </sheetData>
  <mergeCells count="13">
    <mergeCell ref="A1:D1"/>
    <mergeCell ref="A12:D12"/>
    <mergeCell ref="A13:C13"/>
    <mergeCell ref="C2:D2"/>
    <mergeCell ref="A2:B3"/>
    <mergeCell ref="A21:C21"/>
    <mergeCell ref="A22:C22"/>
    <mergeCell ref="A19:D19"/>
    <mergeCell ref="A14:C14"/>
    <mergeCell ref="A15:C15"/>
    <mergeCell ref="A16:C16"/>
    <mergeCell ref="A17:C17"/>
    <mergeCell ref="A20:D20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StudentInfo</vt:lpstr>
      <vt:lpstr>Task 1_$100000</vt:lpstr>
      <vt:lpstr>Task 1_$200000</vt:lpstr>
      <vt:lpstr>Task 1_$400000</vt:lpstr>
      <vt:lpstr>Task 1_$600000</vt:lpstr>
      <vt:lpstr>Task 2-Analysis</vt:lpstr>
      <vt:lpstr>SCorp30%</vt:lpstr>
      <vt:lpstr>30%Savings</vt:lpstr>
      <vt:lpstr>2016 Tax Rates_Thresholds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Hennig, Cherie J.</dc:creator>
  <cp:lastModifiedBy>AICPA</cp:lastModifiedBy>
  <cp:lastPrinted>2013-04-11T15:07:50Z</cp:lastPrinted>
  <dcterms:created xsi:type="dcterms:W3CDTF">2001-01-11T20:50:33Z</dcterms:created>
  <dcterms:modified xsi:type="dcterms:W3CDTF">2016-04-27T17:32:04Z</dcterms:modified>
</cp:coreProperties>
</file>