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filterPrivacy="1" autoCompressPictures="0"/>
  <xr:revisionPtr revIDLastSave="1" documentId="8_{DD72E628-DFE2-4DB5-8C68-133AC2DCF9A6}" xr6:coauthVersionLast="47" xr6:coauthVersionMax="47" xr10:uidLastSave="{379C4213-49C8-46F9-845C-10D619EDB213}"/>
  <bookViews>
    <workbookView xWindow="760" yWindow="760" windowWidth="18110" windowHeight="8780" tabRatio="500" firstSheet="6" activeTab="9" xr2:uid="{00000000-000D-0000-FFFF-FFFF00000000}"/>
  </bookViews>
  <sheets>
    <sheet name="Case1" sheetId="6" r:id="rId1"/>
    <sheet name="Sheet2" sheetId="2" state="hidden" r:id="rId2"/>
    <sheet name="C1Work" sheetId="1" r:id="rId3"/>
    <sheet name="C1Provision" sheetId="5" r:id="rId4"/>
    <sheet name="Case2" sheetId="7" r:id="rId5"/>
    <sheet name="C2Year1Work" sheetId="8" r:id="rId6"/>
    <sheet name="C2Year2Work" sheetId="10" r:id="rId7"/>
    <sheet name="C2Year3Work" sheetId="16" r:id="rId8"/>
    <sheet name="C2Provision" sheetId="9" r:id="rId9"/>
    <sheet name="Case3" sheetId="12" r:id="rId10"/>
    <sheet name="C3Work" sheetId="13" r:id="rId11"/>
    <sheet name="C3Provision" sheetId="14" r:id="rId12"/>
    <sheet name="Sheet11" sheetId="15" r:id="rId13"/>
  </sheets>
  <definedNames>
    <definedName name="Effect">Sheet2!$A$1:$A$5</definedName>
    <definedName name="_xlnm.Print_Area" localSheetId="3">'C1Provision'!$A$1:$F$24</definedName>
    <definedName name="_xlnm.Print_Area" localSheetId="8">'C2Provision'!$A$1:$L$26</definedName>
    <definedName name="_xlnm.Print_Area" localSheetId="5">'C2Year1Work'!$A$1:$H$34</definedName>
    <definedName name="_xlnm.Print_Area" localSheetId="6">'C2Year2Work'!$A$1:$H$52</definedName>
    <definedName name="_xlnm.Print_Area" localSheetId="7">'C2Year3Work'!$A$1:$H$33</definedName>
    <definedName name="_xlnm.Print_Area" localSheetId="11">'C3Provision'!$A$1:$F$24</definedName>
    <definedName name="_xlnm.Print_Area" localSheetId="10">'C3Work'!$A$1:$H$36</definedName>
    <definedName name="_xlnm.Print_Area" localSheetId="0">Case1!$A$1:$E$33</definedName>
    <definedName name="_xlnm.Print_Area" localSheetId="4">Case2!$A$1:$G$27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12" i="5" l="1"/>
  <c r="C41" i="1"/>
  <c r="B22" i="9"/>
  <c r="B5" i="14"/>
  <c r="B10" i="14"/>
  <c r="B15" i="14"/>
  <c r="B18" i="14"/>
  <c r="B22" i="14"/>
  <c r="E8" i="7"/>
  <c r="E10" i="7"/>
  <c r="E14" i="7"/>
  <c r="E17" i="7"/>
  <c r="E18" i="7"/>
  <c r="C22" i="9"/>
  <c r="B17" i="10"/>
  <c r="B6" i="10"/>
  <c r="B18" i="10"/>
  <c r="B7" i="10"/>
  <c r="B19" i="10"/>
  <c r="B8" i="10"/>
  <c r="B20" i="10"/>
  <c r="B21" i="10"/>
  <c r="B24" i="10"/>
  <c r="B26" i="10"/>
  <c r="F26" i="10"/>
  <c r="C6" i="9"/>
  <c r="F8" i="10"/>
  <c r="F6" i="10"/>
  <c r="H6" i="10"/>
  <c r="B8" i="8"/>
  <c r="C29" i="10"/>
  <c r="C31" i="10"/>
  <c r="F31" i="10"/>
  <c r="D14" i="7"/>
  <c r="B6" i="8"/>
  <c r="C33" i="10"/>
  <c r="C35" i="10"/>
  <c r="F35" i="10"/>
  <c r="H35" i="10"/>
  <c r="C11" i="9"/>
  <c r="C16" i="9"/>
  <c r="C19" i="9"/>
  <c r="C23" i="9"/>
  <c r="C24" i="9"/>
  <c r="D24" i="9"/>
  <c r="F8" i="7"/>
  <c r="F10" i="7"/>
  <c r="F17" i="7"/>
  <c r="F18" i="7"/>
  <c r="B17" i="16"/>
  <c r="B6" i="16"/>
  <c r="B18" i="16"/>
  <c r="B7" i="16"/>
  <c r="B19" i="16"/>
  <c r="B8" i="16"/>
  <c r="B20" i="16"/>
  <c r="B21" i="16"/>
  <c r="B24" i="16"/>
  <c r="B26" i="16"/>
  <c r="F26" i="16"/>
  <c r="D6" i="9"/>
  <c r="F8" i="16"/>
  <c r="F6" i="16"/>
  <c r="H6" i="16"/>
  <c r="D11" i="9"/>
  <c r="D16" i="9"/>
  <c r="D19" i="9"/>
  <c r="D23" i="9"/>
  <c r="D8" i="7"/>
  <c r="D10" i="7"/>
  <c r="D17" i="7"/>
  <c r="D18" i="7"/>
  <c r="B17" i="8"/>
  <c r="B18" i="8"/>
  <c r="B7" i="8"/>
  <c r="B19" i="8"/>
  <c r="B20" i="8"/>
  <c r="B21" i="8"/>
  <c r="B24" i="8"/>
  <c r="B26" i="8"/>
  <c r="F26" i="8"/>
  <c r="B6" i="9"/>
  <c r="F6" i="8"/>
  <c r="F8" i="8"/>
  <c r="H8" i="8"/>
  <c r="B11" i="9"/>
  <c r="B16" i="9"/>
  <c r="B19" i="9"/>
  <c r="B23" i="9"/>
  <c r="D8" i="6"/>
  <c r="D10" i="6"/>
  <c r="D11" i="6"/>
  <c r="D22" i="6"/>
  <c r="D23" i="6"/>
  <c r="B18" i="1"/>
  <c r="B6" i="1"/>
  <c r="B19" i="1"/>
  <c r="B9" i="1"/>
  <c r="B22" i="1"/>
  <c r="B10" i="1"/>
  <c r="B23" i="1"/>
  <c r="B11" i="1"/>
  <c r="B24" i="1"/>
  <c r="B25" i="1"/>
  <c r="B28" i="1"/>
  <c r="B30" i="1"/>
  <c r="F30" i="1"/>
  <c r="B5" i="5"/>
  <c r="F10" i="1"/>
  <c r="F9" i="1"/>
  <c r="H9" i="1"/>
  <c r="B10" i="5"/>
  <c r="B15" i="5"/>
  <c r="B18" i="5"/>
  <c r="B22" i="5"/>
  <c r="B11" i="13"/>
  <c r="B12" i="13"/>
  <c r="B13" i="13"/>
  <c r="B14" i="13"/>
  <c r="B15" i="13"/>
  <c r="B16" i="13"/>
  <c r="B21" i="13"/>
  <c r="B23" i="13"/>
  <c r="F23" i="13"/>
  <c r="B8" i="14"/>
  <c r="B6" i="13"/>
  <c r="F6" i="13"/>
  <c r="H6" i="13"/>
  <c r="F8" i="13"/>
  <c r="H8" i="13"/>
  <c r="B13" i="14"/>
  <c r="B21" i="14"/>
  <c r="B23" i="14"/>
  <c r="D9" i="9"/>
  <c r="D14" i="9"/>
  <c r="C9" i="9"/>
  <c r="C14" i="9"/>
  <c r="B9" i="9"/>
  <c r="B14" i="9"/>
  <c r="B24" i="9"/>
  <c r="B21" i="5"/>
  <c r="B8" i="5"/>
  <c r="B13" i="5"/>
  <c r="B23" i="5"/>
  <c r="K12" i="9"/>
  <c r="B32" i="16"/>
  <c r="I10" i="9"/>
  <c r="J10" i="9"/>
  <c r="I12" i="9"/>
  <c r="J12" i="9"/>
  <c r="I8" i="9"/>
  <c r="J8" i="9"/>
  <c r="G12" i="9"/>
  <c r="H12" i="9"/>
  <c r="G10" i="9"/>
  <c r="H10" i="9"/>
  <c r="G5" i="9"/>
  <c r="G13" i="9"/>
  <c r="H13" i="9"/>
  <c r="I5" i="9"/>
  <c r="I13" i="9"/>
  <c r="J13" i="9"/>
  <c r="K5" i="9"/>
  <c r="K13" i="9"/>
  <c r="L13" i="9"/>
  <c r="L12" i="9"/>
  <c r="B31" i="16"/>
  <c r="D22" i="9"/>
  <c r="B33" i="16"/>
  <c r="C33" i="16"/>
  <c r="C32" i="16"/>
  <c r="B48" i="10"/>
  <c r="B49" i="10"/>
  <c r="B50" i="10"/>
  <c r="B51" i="10"/>
  <c r="B52" i="10"/>
  <c r="C51" i="10"/>
  <c r="A19" i="16"/>
  <c r="A19" i="10"/>
  <c r="B33" i="8"/>
  <c r="B31" i="8"/>
  <c r="B32" i="8"/>
  <c r="B34" i="8"/>
  <c r="C33" i="8"/>
  <c r="C34" i="8"/>
  <c r="C32" i="8"/>
  <c r="A32" i="8"/>
  <c r="A19" i="8"/>
  <c r="H26" i="16"/>
  <c r="A18" i="16"/>
  <c r="A17" i="16"/>
  <c r="H8" i="16"/>
  <c r="B29" i="13"/>
  <c r="E12" i="14"/>
  <c r="F12" i="14"/>
  <c r="B30" i="13"/>
  <c r="B31" i="13"/>
  <c r="E13" i="14"/>
  <c r="F13" i="14"/>
  <c r="E10" i="14"/>
  <c r="E4" i="14"/>
  <c r="E14" i="14"/>
  <c r="F14" i="14"/>
  <c r="F10" i="14"/>
  <c r="D8" i="12"/>
  <c r="D10" i="12"/>
  <c r="D19" i="12"/>
  <c r="D20" i="12"/>
  <c r="C30" i="13"/>
  <c r="C31" i="13"/>
  <c r="B32" i="13"/>
  <c r="C32" i="13"/>
  <c r="B28" i="13"/>
  <c r="B33" i="13"/>
  <c r="C33" i="13"/>
  <c r="C29" i="13"/>
  <c r="A32" i="13"/>
  <c r="A15" i="13"/>
  <c r="A31" i="13"/>
  <c r="A14" i="13"/>
  <c r="A30" i="13"/>
  <c r="A13" i="13"/>
  <c r="A29" i="13"/>
  <c r="A12" i="13"/>
  <c r="F8" i="1"/>
  <c r="F13" i="1"/>
  <c r="H8" i="1"/>
  <c r="B40" i="1"/>
  <c r="H23" i="13"/>
  <c r="A11" i="13"/>
  <c r="C30" i="10"/>
  <c r="C34" i="10"/>
  <c r="C52" i="10"/>
  <c r="C50" i="10"/>
  <c r="C49" i="10"/>
  <c r="H31" i="10"/>
  <c r="H8" i="10"/>
  <c r="H26" i="10"/>
  <c r="A18" i="10"/>
  <c r="A17" i="10"/>
  <c r="A18" i="8"/>
  <c r="B39" i="1"/>
  <c r="H26" i="8"/>
  <c r="A17" i="8"/>
  <c r="H6" i="8"/>
  <c r="B20" i="1"/>
  <c r="B21" i="1"/>
  <c r="E4" i="5"/>
  <c r="E9" i="5"/>
  <c r="E10" i="5"/>
  <c r="B38" i="1"/>
  <c r="B37" i="1"/>
  <c r="B36" i="1"/>
  <c r="E11" i="5"/>
  <c r="E12" i="5"/>
  <c r="F11" i="5"/>
  <c r="F10" i="5"/>
  <c r="F9" i="5"/>
  <c r="B35" i="1"/>
  <c r="B41" i="1"/>
  <c r="C37" i="1"/>
  <c r="C36" i="1"/>
  <c r="C39" i="1"/>
  <c r="C40" i="1"/>
  <c r="C38" i="1"/>
  <c r="A38" i="1"/>
  <c r="A36" i="1"/>
  <c r="H13" i="1"/>
  <c r="H30" i="1"/>
  <c r="A20" i="1"/>
  <c r="A21" i="1"/>
  <c r="A22" i="1"/>
  <c r="A23" i="1"/>
  <c r="A24" i="1"/>
  <c r="A19" i="1"/>
  <c r="A18" i="1"/>
  <c r="H10" i="1"/>
</calcChain>
</file>

<file path=xl/sharedStrings.xml><?xml version="1.0" encoding="utf-8"?>
<sst xmlns="http://schemas.openxmlformats.org/spreadsheetml/2006/main" count="468" uniqueCount="150">
  <si>
    <t>Increase DTA</t>
  </si>
  <si>
    <t>Decrease DTA</t>
  </si>
  <si>
    <t>Increase DTL</t>
  </si>
  <si>
    <t>Decrease DTL</t>
  </si>
  <si>
    <t>N/A</t>
  </si>
  <si>
    <t>Amount of the BTD</t>
  </si>
  <si>
    <t>Credit</t>
  </si>
  <si>
    <t>$</t>
  </si>
  <si>
    <t>%</t>
  </si>
  <si>
    <t>Sales</t>
  </si>
  <si>
    <t>Bad debt expense</t>
  </si>
  <si>
    <t>Interest expense</t>
  </si>
  <si>
    <t>Advertising</t>
  </si>
  <si>
    <t>Cost of goods sold</t>
  </si>
  <si>
    <t>Depreciation</t>
  </si>
  <si>
    <t>Taxes (property and payroll)</t>
  </si>
  <si>
    <t xml:space="preserve">   Gross Profit</t>
  </si>
  <si>
    <t>Salaries</t>
  </si>
  <si>
    <t>DRD</t>
  </si>
  <si>
    <t>Net capital loss</t>
  </si>
  <si>
    <t>ASC 740 Case Study 1</t>
  </si>
  <si>
    <t>Case 1 Income Tax Provision and Reconciliation</t>
  </si>
  <si>
    <t>**</t>
  </si>
  <si>
    <t>Journal Entry Debit</t>
  </si>
  <si>
    <t>Journal Entry Credit</t>
  </si>
  <si>
    <t>Dividends from 7%-owned domestic corporation</t>
  </si>
  <si>
    <t>Revenues:</t>
  </si>
  <si>
    <t xml:space="preserve"> Total Expenses</t>
  </si>
  <si>
    <t>Earnings before income taxes</t>
  </si>
  <si>
    <t>Provision for income taxes</t>
  </si>
  <si>
    <t>Net earnings</t>
  </si>
  <si>
    <t>Expenses:</t>
  </si>
  <si>
    <t>Total revenues</t>
  </si>
  <si>
    <t>ASC 740 Journal Entries</t>
  </si>
  <si>
    <t>Employee fringe benefits</t>
  </si>
  <si>
    <t>Income Tax Provision</t>
  </si>
  <si>
    <t>Current tax expense</t>
  </si>
  <si>
    <t xml:space="preserve">   Federal</t>
  </si>
  <si>
    <t xml:space="preserve">   State and local</t>
  </si>
  <si>
    <t xml:space="preserve">   Foreign</t>
  </si>
  <si>
    <t>Deferred tax expense</t>
  </si>
  <si>
    <t>Deferred provision (benefit)</t>
  </si>
  <si>
    <t>Nondeductible expenses</t>
  </si>
  <si>
    <t>Case 1 Work</t>
  </si>
  <si>
    <t>Income taxes payable</t>
  </si>
  <si>
    <t>Deferred tax liability</t>
  </si>
  <si>
    <t>Deferred tax asset</t>
  </si>
  <si>
    <t>Valuation allowance</t>
  </si>
  <si>
    <t>Establishing valuation allowance</t>
  </si>
  <si>
    <t>Tax-exempt investment income</t>
  </si>
  <si>
    <t>Book-tax reconciliation</t>
  </si>
  <si>
    <t>Taxable income</t>
  </si>
  <si>
    <t>Current tax expense calculation</t>
  </si>
  <si>
    <t>Pre-credit income tax expense</t>
  </si>
  <si>
    <t>Income tax liability</t>
  </si>
  <si>
    <t>Effect on DTA or DTL</t>
  </si>
  <si>
    <t>Income tax provision at US federal statutory rate</t>
  </si>
  <si>
    <t xml:space="preserve">Income tax provision </t>
  </si>
  <si>
    <t>State and local income tax, net of federal (national) income tax effect</t>
  </si>
  <si>
    <t>Foreign tax effects</t>
  </si>
  <si>
    <t>Effect of changes in tax laws or rates enacted in the current period</t>
  </si>
  <si>
    <t>Effect of cross-border tax laws</t>
  </si>
  <si>
    <t>Tax credits</t>
  </si>
  <si>
    <t>Changes in valuation allowances</t>
  </si>
  <si>
    <t>Nontaxable or nondeductible items</t>
  </si>
  <si>
    <t xml:space="preserve">Reconciliation of Income Tax Provision </t>
  </si>
  <si>
    <t>-</t>
  </si>
  <si>
    <t>Tax-exempt interest income</t>
  </si>
  <si>
    <t>*The highest-paid executive earns salary of $500,000.</t>
  </si>
  <si>
    <t>*The company qualifes for $5,000 of general business credits.</t>
  </si>
  <si>
    <t>ASC 740 Case Study 2</t>
  </si>
  <si>
    <t>GAAP Partial Income Statement</t>
  </si>
  <si>
    <t>Year 1</t>
  </si>
  <si>
    <t>Year 2</t>
  </si>
  <si>
    <t>Startup expenses</t>
  </si>
  <si>
    <t>Salaries and benefits</t>
  </si>
  <si>
    <t>Beta also provided the following additional information, all of which it properly accounted for under GAAP.</t>
  </si>
  <si>
    <t>Other operating expenses</t>
  </si>
  <si>
    <t>Depreciation and other cost recovery</t>
  </si>
  <si>
    <t>Startup expenses*</t>
  </si>
  <si>
    <t xml:space="preserve">Startup expenses </t>
  </si>
  <si>
    <t xml:space="preserve">*Organizational costs for tax purposes = $4,000.  </t>
  </si>
  <si>
    <t xml:space="preserve">          Deduction for Year 1 = $5,000 + ($34,000-5,000)/180*11=$6,772; Year 2 and beyond until fully recovered = ($34,000-$5,000)/180*12=1,933</t>
  </si>
  <si>
    <t xml:space="preserve">          Deduction for Year 1 = $4,000 (all of it qualifies under the $5,000 maximum expense option for the first year); Year 2 and beyond = $0</t>
  </si>
  <si>
    <t>Adjust remaining DTAs and DTLs to incorporate enacted rate reduction</t>
  </si>
  <si>
    <t>Enacted rate reduction</t>
  </si>
  <si>
    <t>Necessary reduction in DTA in year of enactment</t>
  </si>
  <si>
    <t>Necessary reduction in DTL in year of enactment</t>
  </si>
  <si>
    <t>Case 2 Income Tax Provision and Reconciliation</t>
  </si>
  <si>
    <t>Case 2, Year 1 Work</t>
  </si>
  <si>
    <t>Case 2, Year 2 Work</t>
  </si>
  <si>
    <t>Alpha Corporation is a domestic, calendar-year, accrual-basis public business entity domiciled in the US. It only has nexus in the state of South Dakota, which does not have a corporate income tax. Its annual Income Statement prior to the provision for income taxes as prepared under GAAP appears below.  The enacted tax rate for the current and all future tax years is 21%.</t>
  </si>
  <si>
    <t>*Alpha took advantage of Sec. 179 expensing and bonus depreciation. Total tax cost recovery totaled $2.1 million.</t>
  </si>
  <si>
    <t>*Bad debt writeoffs totaled $19,000.</t>
  </si>
  <si>
    <t>Investment and other income</t>
  </si>
  <si>
    <t>Repairs and maintenance</t>
  </si>
  <si>
    <t xml:space="preserve">   Startup costs for tax purposes=$38,000-$4,000 = $34,000.</t>
  </si>
  <si>
    <t>Enacted tax rate reduction</t>
  </si>
  <si>
    <t xml:space="preserve">Illustration of T-accounts over life of DTA and DTL </t>
  </si>
  <si>
    <t>CY</t>
  </si>
  <si>
    <t>ASC 740 Case Study 3</t>
  </si>
  <si>
    <t>Gamma Corporation is a domestic, calendar-year, accrual-basis public business entity domiciled in the US. It only has nexus in states with no income tax for corporations. Its annual Income Statement prior to the provision for income taxes as prepared under GAAP appears below.  The enacted tax rate for the current and all future tax years is 21%.</t>
  </si>
  <si>
    <t>Fines and penalties</t>
  </si>
  <si>
    <t>Legal settlement</t>
  </si>
  <si>
    <t>Life insurance</t>
  </si>
  <si>
    <t>*Alpha has not reported any capital gain or loss in the previous three tax years.  In management’s judgment, it is more likely than not that it will only be able to use one-half of the carryforward before it expires.</t>
  </si>
  <si>
    <t>*Investment and other income is comprised of interest income and capital gains income.</t>
  </si>
  <si>
    <t>*The company did not purchase new tangible personalty or depreciable realty this year. It has no cost recovery for tax purposes because it already deducted prior-year purchases in the year of purchase by taking advantage of Sec. 179 expensing and bonus depreciation provisions.</t>
  </si>
  <si>
    <t>Case 3 Work</t>
  </si>
  <si>
    <t>Case 3 Income Tax Provision and Reconciliation</t>
  </si>
  <si>
    <t>Releasing valuation allowance</t>
  </si>
  <si>
    <t xml:space="preserve">     Legal settlement</t>
  </si>
  <si>
    <t xml:space="preserve">     Other</t>
  </si>
  <si>
    <t>The following additional information also relates to the current tax year. Alpha has properly included each item in its GAAP Income Statement.</t>
  </si>
  <si>
    <t>*Investment and other income is comprised of interest income of $45,500 ($8,000 of which is from tax-exempt bonds) and net loss from the sale of capital investments of $200,000.</t>
  </si>
  <si>
    <t>Book-tax differences (BTD)</t>
  </si>
  <si>
    <t>Additional notes: The corporation qualifies for the small business exemption for business interest expense, so it is fully deductible in the current year and there is no BTD. The salary for the highest-paid executive is below $1 million, so it is fully deductible and there is no BTD.</t>
  </si>
  <si>
    <r>
      <t xml:space="preserve">*Because no single credit itself meets the 5% threshold for disaggregation within the category (to cause a change of at least 1.05% in ETR), Alpha is not required to separately state the identity of the credit within the </t>
    </r>
    <r>
      <rPr>
        <i/>
        <sz val="12"/>
        <color theme="1"/>
        <rFont val="Calibri"/>
        <family val="2"/>
        <scheme val="minor"/>
      </rPr>
      <t>tax credits</t>
    </r>
    <r>
      <rPr>
        <sz val="12"/>
        <color theme="1"/>
        <rFont val="Calibri"/>
        <family val="2"/>
        <scheme val="minor"/>
      </rPr>
      <t xml:space="preserve"> line item in the reconciliation table.</t>
    </r>
  </si>
  <si>
    <t>Additional notes for final reconciliation presentation:</t>
  </si>
  <si>
    <t xml:space="preserve">   Startup costs for tax purposes = $34,000.</t>
  </si>
  <si>
    <r>
      <t xml:space="preserve">   GAAP combines these categories into one </t>
    </r>
    <r>
      <rPr>
        <sz val="12"/>
        <color theme="1"/>
        <rFont val="Calibri"/>
        <family val="2"/>
        <scheme val="minor"/>
      </rPr>
      <t>line item which is fully deductible in Year 1.</t>
    </r>
  </si>
  <si>
    <t>Itemized working draft of rate reconciliation (prior to applying categories)</t>
  </si>
  <si>
    <t>Year 3</t>
  </si>
  <si>
    <t xml:space="preserve">*Investment and other income is comprised of taxable interest income and net capital gains. </t>
  </si>
  <si>
    <t>*Beta purchased $450,000 of depreciable equipment in Year 1, all of which it deducted for tax purposes under IRC Sec. 179. For financial purposes, the company depreciates the property straight-line over three years with no salvage value. It did not make depreciable purchases in Years 2 or 3.</t>
  </si>
  <si>
    <t>*Beta qualifies for $2,400 of general business credits in Years 1 and 2 resulting from its hiring practices.</t>
  </si>
  <si>
    <t xml:space="preserve">   GAAP combines these categories into one line item which is fully deductible in Year 1.</t>
  </si>
  <si>
    <t>*Other operating expenses includes business meals expense of $6,000, $9,600, and $11,700 in Years 1, 2, and 3, respectively.</t>
  </si>
  <si>
    <t>Other operating expenses (nondeductible meals component)</t>
  </si>
  <si>
    <t>Case 2, Year 3 Work</t>
  </si>
  <si>
    <r>
      <t xml:space="preserve">*Because neither the DRD, tax-exempt income, nor nondeductible expenses exceed the 5% threshold for disaggregation within the category (to cause a change of at least 1.05% in ETR), Alpha is not required to separately state the identity of these items within the </t>
    </r>
    <r>
      <rPr>
        <i/>
        <sz val="12"/>
        <color theme="1"/>
        <rFont val="Calibri"/>
        <family val="2"/>
        <scheme val="minor"/>
      </rPr>
      <t>nontaxable or nondeductible items</t>
    </r>
    <r>
      <rPr>
        <sz val="12"/>
        <color theme="1"/>
        <rFont val="Calibri"/>
        <family val="2"/>
        <scheme val="minor"/>
      </rPr>
      <t xml:space="preserve"> line item in the reconciliation table.</t>
    </r>
  </si>
  <si>
    <t>*Gamma's management released $80,000 of its valuation allowance based on an increased likelihood of being able to utilize existing DTAs.</t>
  </si>
  <si>
    <t>*The legal settlement relates to the payout and associated legal fees for a sexual harassment case subject to a nondisclosure agreement.</t>
  </si>
  <si>
    <t>*Gamma is designated as the beneficiary of the life insurance policy on the life of its CEO.</t>
  </si>
  <si>
    <t>The following additional information also relates to the current tax year. Gamma has properly included each item in its GAAP Income Statement.</t>
  </si>
  <si>
    <t>**Recording the associated valuation allowance</t>
  </si>
  <si>
    <t>Additional note: Though legal expenses are generally deductible, payouts and fees related to this type of legal settlement are nondeductible, thus creating a permanent difference.</t>
  </si>
  <si>
    <t>Beta Corporation is a domestic, calendar-year, accrual-basis public business entity domiciled in the US. Below is a Beta's Income Statement prior to the provision for income taxes as prepared under GAAP for Years 1, 2, and 3. It began operations in February of Year 1. As of Year 1, the enacted tax rate for the current and all future tax years was 21%. In Year 2, Congress enacted a corporate tax rate decrease to 17% effective in Year 3 and beyond. For simplicity, assume Beta Corporation does not have nexus in any state that levies a corporate income tax.</t>
  </si>
  <si>
    <t>*Of the $38,000 startup expenses as defined under GAAP, $4,000 represented organizational costs per IRC Sec. 248 and the remaining $34,000 is comprised of startup costs as defined by IRC Sec. 195.</t>
  </si>
  <si>
    <t xml:space="preserve">Remaining depreciation and cost recovery BTD to reverse in Years 3 and beyond </t>
  </si>
  <si>
    <t>Remaining startup cost BTD to reverse in Years 3 and beyond</t>
  </si>
  <si>
    <t>Current provision (benefit)</t>
  </si>
  <si>
    <t xml:space="preserve">      Total current provision (benefit)</t>
  </si>
  <si>
    <t xml:space="preserve">      Total deferred provision (benefit)</t>
  </si>
  <si>
    <t xml:space="preserve">      Total provision for income taxes</t>
  </si>
  <si>
    <r>
      <rPr>
        <b/>
        <sz val="12"/>
        <color theme="1"/>
        <rFont val="Times New Roman"/>
        <family val="1"/>
      </rPr>
      <t>Required</t>
    </r>
    <r>
      <rPr>
        <sz val="12"/>
        <color theme="1"/>
        <rFont val="Times New Roman"/>
        <family val="1"/>
      </rPr>
      <t>: Present the current, deferred, and total income tax expense for Alpha's income tax provision. Construct the company's rate reconciliation table, and calculate net earnings after the provision for income taxes.</t>
    </r>
  </si>
  <si>
    <t>Calculating net earnings after taxes</t>
  </si>
  <si>
    <r>
      <rPr>
        <b/>
        <sz val="12"/>
        <color theme="1"/>
        <rFont val="Times New Roman"/>
        <family val="1"/>
      </rPr>
      <t xml:space="preserve">Required: </t>
    </r>
    <r>
      <rPr>
        <sz val="12"/>
        <color theme="1"/>
        <rFont val="Times New Roman"/>
        <family val="1"/>
      </rPr>
      <t>Present the current, deferred, and total income tax expense for Gamma's income tax provision. Construct the company's rate reconciliation table, and calculate net earnings after the provision for income taxes.</t>
    </r>
  </si>
  <si>
    <r>
      <t xml:space="preserve">*Because one of the three nondeductible expenses (the legal settlement) meets the 5% threshold for disaggregation within the category (causing a change of at least 1.05% in ETR) and is different in nature than the other two, Gamma is required to separately state it within the </t>
    </r>
    <r>
      <rPr>
        <i/>
        <sz val="12"/>
        <color theme="1"/>
        <rFont val="Calibri"/>
        <family val="2"/>
        <scheme val="minor"/>
      </rPr>
      <t>nontaxable or nondeductible items</t>
    </r>
    <r>
      <rPr>
        <sz val="12"/>
        <color theme="1"/>
        <rFont val="Calibri"/>
        <family val="2"/>
        <scheme val="minor"/>
      </rPr>
      <t xml:space="preserve"> line item in the reconciliation table.</t>
    </r>
  </si>
  <si>
    <r>
      <rPr>
        <b/>
        <sz val="12"/>
        <color theme="1"/>
        <rFont val="Times New Roman"/>
        <family val="1"/>
      </rPr>
      <t xml:space="preserve">Required: </t>
    </r>
    <r>
      <rPr>
        <sz val="12"/>
        <color theme="1"/>
        <rFont val="Times New Roman"/>
        <family val="1"/>
      </rPr>
      <t>For each year</t>
    </r>
    <r>
      <rPr>
        <b/>
        <sz val="12"/>
        <color theme="1"/>
        <rFont val="Times New Roman"/>
        <family val="1"/>
      </rPr>
      <t xml:space="preserve">, </t>
    </r>
    <r>
      <rPr>
        <sz val="12"/>
        <color theme="1"/>
        <rFont val="Times New Roman"/>
        <family val="1"/>
      </rPr>
      <t>reset the current, deferred, and total income tax expense for Beta's income tax provision. Construct the company's rate reconciliation table, and calculate net earnings after the provision for income taxes.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</si>
</sst>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quot;$&quot;#,##0"/>
    <numFmt numFmtId="165" formatCode="_(* #,##0_);_(* \(#,##0\);_(* &quot;-&quot;??_);_(@_)"/>
    <numFmt numFmtId="166" formatCode="0_);\(0\)"/>
    <numFmt numFmtId="167" formatCode="0.00_);\(0.00\)"/>
    <numFmt numFmtId="168" formatCode="&quot;$&quot;#,##0.0_);[Red]\(&quot;$&quot;#,##0.0\)"/>
    <numFmt numFmtId="169" formatCode="&quot;$&quot;#,##0.0"/>
    <numFmt numFmtId="170" formatCode="_(&quot;$&quot;* #,##0_);_(&quot;$&quot;* \(#,##0\);_(&quot;$&quot;* &quot;-&quot;??_);_(@_)"/>
    <numFmt numFmtId="171" formatCode="0.0"/>
    <numFmt numFmtId="172" formatCode="0.0_);\(0.0\)"/>
    <numFmt numFmtId="173" formatCode="&quot;$&quot;#,##0.000_);\(&quot;$&quot;#,##0.000\)"/>
  </numFmts>
  <fonts count="16">
    <font>
      <sz val="12"/>
      <color theme="1"/>
      <name val="Calibri"/>
      <family val="2"/>
      <charset val="134"/>
      <scheme val="minor"/>
    </font>
    <font>
      <sz val="11"/>
      <color theme="1"/>
      <name val="Calibri"/>
      <family val="2"/>
      <scheme val="minor"/>
    </font>
    <font>
      <sz val="12"/>
      <color theme="1"/>
      <name val="Calibri"/>
      <family val="2"/>
      <scheme val="minor"/>
    </font>
    <font>
      <b/>
      <sz val="12"/>
      <color theme="1"/>
      <name val="Calibri"/>
      <family val="2"/>
      <scheme val="minor"/>
    </font>
    <font>
      <u/>
      <sz val="12"/>
      <color theme="10"/>
      <name val="Calibri"/>
      <family val="2"/>
      <scheme val="minor"/>
    </font>
    <font>
      <u/>
      <sz val="12"/>
      <color theme="11"/>
      <name val="Calibri"/>
      <family val="2"/>
      <scheme val="minor"/>
    </font>
    <font>
      <b/>
      <u/>
      <sz val="12"/>
      <color theme="1"/>
      <name val="Calibri"/>
      <family val="2"/>
      <scheme val="minor"/>
    </font>
    <font>
      <sz val="8"/>
      <name val="Calibri"/>
      <family val="2"/>
      <scheme val="minor"/>
    </font>
    <font>
      <sz val="12"/>
      <color theme="1"/>
      <name val="Times New Roman"/>
      <family val="1"/>
    </font>
    <font>
      <sz val="12"/>
      <color theme="1"/>
      <name val="Calibri"/>
      <family val="2"/>
      <charset val="134"/>
      <scheme val="minor"/>
    </font>
    <font>
      <b/>
      <sz val="12"/>
      <color theme="1"/>
      <name val="Times New Roman"/>
      <family val="1"/>
    </font>
    <font>
      <b/>
      <sz val="12"/>
      <color rgb="FF000000"/>
      <name val="Times New Roman"/>
      <family val="1"/>
    </font>
    <font>
      <sz val="12"/>
      <color rgb="FF000000"/>
      <name val="Times New Roman"/>
      <family val="1"/>
    </font>
    <font>
      <sz val="12"/>
      <name val="Times New Roman"/>
      <family val="1"/>
    </font>
    <font>
      <i/>
      <sz val="12"/>
      <color theme="1"/>
      <name val="Calibri"/>
      <family val="2"/>
      <scheme val="minor"/>
    </font>
    <font>
      <sz val="8"/>
      <name val="Calibri"/>
      <family val="2"/>
      <charset val="134"/>
      <scheme val="minor"/>
    </font>
  </fonts>
  <fills count="7">
    <fill>
      <patternFill patternType="none"/>
    </fill>
    <fill>
      <patternFill patternType="gray125"/>
    </fill>
    <fill>
      <patternFill patternType="solid">
        <fgColor theme="8" tint="0.59999389629810485"/>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theme="6" tint="0.39997558519241921"/>
        <bgColor indexed="64"/>
      </patternFill>
    </fill>
  </fills>
  <borders count="8">
    <border>
      <left/>
      <right/>
      <top/>
      <bottom/>
      <diagonal/>
    </border>
    <border>
      <left/>
      <right/>
      <top/>
      <bottom style="thin">
        <color auto="1"/>
      </bottom>
      <diagonal/>
    </border>
    <border>
      <left/>
      <right/>
      <top/>
      <bottom style="double">
        <color auto="1"/>
      </bottom>
      <diagonal/>
    </border>
    <border>
      <left/>
      <right/>
      <top style="thin">
        <color auto="1"/>
      </top>
      <bottom style="double">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60">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43" fontId="2"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155">
    <xf numFmtId="0" fontId="0" fillId="0" borderId="0" xfId="0"/>
    <xf numFmtId="0" fontId="3" fillId="0" borderId="0" xfId="0" applyFont="1" applyAlignment="1">
      <alignment horizontal="left"/>
    </xf>
    <xf numFmtId="164" fontId="0" fillId="0" borderId="0" xfId="0" applyNumberFormat="1"/>
    <xf numFmtId="0" fontId="0" fillId="0" borderId="0" xfId="0" applyAlignment="1">
      <alignment horizontal="center"/>
    </xf>
    <xf numFmtId="164" fontId="0" fillId="0" borderId="0" xfId="0" applyNumberFormat="1" applyAlignment="1">
      <alignment horizontal="center"/>
    </xf>
    <xf numFmtId="37" fontId="0" fillId="0" borderId="0" xfId="0" applyNumberFormat="1" applyAlignment="1">
      <alignment horizontal="center"/>
    </xf>
    <xf numFmtId="0" fontId="0" fillId="0" borderId="0" xfId="0" applyAlignment="1">
      <alignment horizontal="right"/>
    </xf>
    <xf numFmtId="167" fontId="0" fillId="0" borderId="0" xfId="0" applyNumberFormat="1" applyAlignment="1">
      <alignment horizontal="center"/>
    </xf>
    <xf numFmtId="165" fontId="0" fillId="0" borderId="0" xfId="49" applyNumberFormat="1" applyFont="1"/>
    <xf numFmtId="43" fontId="0" fillId="0" borderId="0" xfId="49" applyFont="1" applyAlignment="1">
      <alignment horizontal="center"/>
    </xf>
    <xf numFmtId="5" fontId="0" fillId="0" borderId="3" xfId="0" applyNumberFormat="1" applyBorder="1" applyAlignment="1">
      <alignment horizontal="center"/>
    </xf>
    <xf numFmtId="0" fontId="0" fillId="2" borderId="0" xfId="0" applyFill="1"/>
    <xf numFmtId="37" fontId="0" fillId="0" borderId="0" xfId="0" applyNumberFormat="1"/>
    <xf numFmtId="0" fontId="1" fillId="0" borderId="0" xfId="0" applyFont="1"/>
    <xf numFmtId="0" fontId="8" fillId="0" borderId="0" xfId="0" applyFont="1" applyAlignment="1">
      <alignment vertical="center"/>
    </xf>
    <xf numFmtId="0" fontId="12" fillId="0" borderId="0" xfId="0" applyFont="1" applyAlignment="1">
      <alignment vertical="center"/>
    </xf>
    <xf numFmtId="6" fontId="0" fillId="0" borderId="0" xfId="0" applyNumberFormat="1"/>
    <xf numFmtId="3" fontId="0" fillId="0" borderId="0" xfId="0" applyNumberFormat="1"/>
    <xf numFmtId="0" fontId="8" fillId="0" borderId="0" xfId="0" applyFont="1"/>
    <xf numFmtId="0" fontId="10" fillId="0" borderId="0" xfId="0" applyFont="1" applyAlignment="1">
      <alignment horizontal="left" vertical="center"/>
    </xf>
    <xf numFmtId="0" fontId="0" fillId="0" borderId="0" xfId="0" applyAlignment="1">
      <alignment horizontal="left"/>
    </xf>
    <xf numFmtId="8" fontId="0" fillId="0" borderId="0" xfId="0" applyNumberFormat="1"/>
    <xf numFmtId="168" fontId="0" fillId="0" borderId="0" xfId="0" applyNumberFormat="1"/>
    <xf numFmtId="165" fontId="0" fillId="0" borderId="0" xfId="0" applyNumberFormat="1"/>
    <xf numFmtId="0" fontId="8" fillId="0" borderId="0" xfId="0" applyFont="1" applyAlignment="1">
      <alignment horizontal="left" vertical="center" indent="1"/>
    </xf>
    <xf numFmtId="0" fontId="2" fillId="0" borderId="0" xfId="0" applyFont="1" applyAlignment="1">
      <alignment horizontal="left"/>
    </xf>
    <xf numFmtId="0" fontId="3" fillId="2" borderId="0" xfId="0" applyFont="1" applyFill="1" applyAlignment="1">
      <alignment horizontal="left"/>
    </xf>
    <xf numFmtId="0" fontId="6" fillId="0" borderId="0" xfId="0" applyFont="1" applyAlignment="1">
      <alignment wrapText="1"/>
    </xf>
    <xf numFmtId="0" fontId="2" fillId="0" borderId="0" xfId="0" applyFont="1" applyAlignment="1">
      <alignment horizontal="right"/>
    </xf>
    <xf numFmtId="0" fontId="3" fillId="0" borderId="0" xfId="0" applyFont="1" applyAlignment="1">
      <alignment horizontal="center"/>
    </xf>
    <xf numFmtId="0" fontId="2" fillId="0" borderId="6" xfId="0" applyFont="1" applyBorder="1" applyAlignment="1">
      <alignment horizontal="left"/>
    </xf>
    <xf numFmtId="0" fontId="0" fillId="0" borderId="6" xfId="0" applyBorder="1"/>
    <xf numFmtId="169" fontId="0" fillId="0" borderId="0" xfId="0" applyNumberFormat="1"/>
    <xf numFmtId="170" fontId="2" fillId="0" borderId="0" xfId="56" applyNumberFormat="1" applyFont="1" applyAlignment="1">
      <alignment horizontal="right"/>
    </xf>
    <xf numFmtId="164" fontId="0" fillId="2" borderId="0" xfId="0" applyNumberFormat="1" applyFill="1"/>
    <xf numFmtId="0" fontId="2" fillId="0" borderId="0" xfId="0" applyFont="1"/>
    <xf numFmtId="0" fontId="6" fillId="0" borderId="0" xfId="0" applyFont="1" applyAlignment="1">
      <alignment horizontal="center"/>
    </xf>
    <xf numFmtId="5" fontId="0" fillId="0" borderId="0" xfId="49" applyNumberFormat="1" applyFont="1" applyFill="1" applyAlignment="1">
      <alignment horizontal="center"/>
    </xf>
    <xf numFmtId="172" fontId="0" fillId="0" borderId="0" xfId="0" applyNumberFormat="1" applyAlignment="1">
      <alignment horizontal="center"/>
    </xf>
    <xf numFmtId="172" fontId="0" fillId="0" borderId="0" xfId="57" applyNumberFormat="1" applyFont="1" applyFill="1" applyAlignment="1">
      <alignment horizontal="center"/>
    </xf>
    <xf numFmtId="37" fontId="0" fillId="0" borderId="1" xfId="0" applyNumberFormat="1" applyBorder="1" applyAlignment="1">
      <alignment horizontal="center"/>
    </xf>
    <xf numFmtId="172" fontId="0" fillId="0" borderId="3" xfId="0" applyNumberFormat="1" applyBorder="1" applyAlignment="1">
      <alignment horizontal="center"/>
    </xf>
    <xf numFmtId="5" fontId="0" fillId="0" borderId="0" xfId="0" applyNumberFormat="1" applyAlignment="1">
      <alignment horizontal="center"/>
    </xf>
    <xf numFmtId="37" fontId="2" fillId="0" borderId="0" xfId="0" applyNumberFormat="1" applyFont="1" applyAlignment="1">
      <alignment horizontal="right"/>
    </xf>
    <xf numFmtId="37" fontId="0" fillId="0" borderId="0" xfId="0" applyNumberFormat="1" applyAlignment="1">
      <alignment horizontal="right"/>
    </xf>
    <xf numFmtId="37" fontId="2" fillId="0" borderId="1" xfId="0" applyNumberFormat="1" applyFont="1" applyBorder="1" applyAlignment="1">
      <alignment horizontal="right"/>
    </xf>
    <xf numFmtId="37" fontId="0" fillId="0" borderId="1" xfId="0" applyNumberFormat="1" applyBorder="1" applyAlignment="1">
      <alignment horizontal="right"/>
    </xf>
    <xf numFmtId="170" fontId="0" fillId="0" borderId="0" xfId="56" applyNumberFormat="1" applyFont="1" applyAlignment="1">
      <alignment horizontal="right"/>
    </xf>
    <xf numFmtId="170" fontId="0" fillId="0" borderId="3" xfId="56" applyNumberFormat="1" applyFont="1" applyBorder="1" applyAlignment="1">
      <alignment horizontal="right"/>
    </xf>
    <xf numFmtId="170" fontId="2" fillId="0" borderId="3" xfId="56" applyNumberFormat="1" applyFont="1" applyBorder="1" applyAlignment="1">
      <alignment horizontal="right"/>
    </xf>
    <xf numFmtId="0" fontId="3" fillId="2" borderId="0" xfId="0" applyFont="1" applyFill="1"/>
    <xf numFmtId="170" fontId="2" fillId="0" borderId="0" xfId="56" applyNumberFormat="1" applyFont="1" applyAlignment="1">
      <alignment horizontal="left"/>
    </xf>
    <xf numFmtId="165" fontId="2" fillId="0" borderId="0" xfId="49" applyNumberFormat="1" applyFont="1" applyAlignment="1">
      <alignment horizontal="left"/>
    </xf>
    <xf numFmtId="0" fontId="2" fillId="0" borderId="0" xfId="0" applyFont="1" applyAlignment="1">
      <alignment horizontal="left" vertical="center" wrapText="1"/>
    </xf>
    <xf numFmtId="5" fontId="2" fillId="0" borderId="0" xfId="0" applyNumberFormat="1" applyFont="1" applyAlignment="1">
      <alignment horizontal="center"/>
    </xf>
    <xf numFmtId="171" fontId="2" fillId="0" borderId="0" xfId="0" applyNumberFormat="1" applyFont="1" applyAlignment="1">
      <alignment horizontal="center"/>
    </xf>
    <xf numFmtId="0" fontId="2" fillId="0" borderId="0" xfId="0" applyFont="1" applyAlignment="1">
      <alignment horizontal="center"/>
    </xf>
    <xf numFmtId="37" fontId="2" fillId="0" borderId="0" xfId="0" applyNumberFormat="1" applyFont="1" applyAlignment="1">
      <alignment horizontal="center"/>
    </xf>
    <xf numFmtId="172" fontId="2" fillId="0" borderId="0" xfId="57" applyNumberFormat="1" applyFont="1" applyBorder="1" applyAlignment="1">
      <alignment horizontal="center"/>
    </xf>
    <xf numFmtId="172" fontId="2" fillId="0" borderId="0" xfId="0" applyNumberFormat="1" applyFont="1" applyAlignment="1">
      <alignment horizontal="center"/>
    </xf>
    <xf numFmtId="171" fontId="0" fillId="0" borderId="0" xfId="0" applyNumberFormat="1" applyAlignment="1">
      <alignment horizontal="center"/>
    </xf>
    <xf numFmtId="37" fontId="2" fillId="0" borderId="1" xfId="0" applyNumberFormat="1" applyFont="1" applyBorder="1" applyAlignment="1">
      <alignment horizontal="center"/>
    </xf>
    <xf numFmtId="171" fontId="0" fillId="0" borderId="3" xfId="0" applyNumberFormat="1" applyBorder="1" applyAlignment="1">
      <alignment horizontal="center"/>
    </xf>
    <xf numFmtId="6" fontId="0" fillId="0" borderId="0" xfId="0" applyNumberFormat="1" applyAlignment="1">
      <alignment horizontal="right"/>
    </xf>
    <xf numFmtId="6" fontId="0" fillId="0" borderId="2" xfId="0" applyNumberFormat="1" applyBorder="1" applyAlignment="1">
      <alignment horizontal="right"/>
    </xf>
    <xf numFmtId="6" fontId="0" fillId="2" borderId="0" xfId="0" applyNumberFormat="1" applyFill="1"/>
    <xf numFmtId="37" fontId="12" fillId="0" borderId="0" xfId="0" applyNumberFormat="1" applyFont="1" applyAlignment="1">
      <alignment horizontal="right" vertical="center"/>
    </xf>
    <xf numFmtId="37" fontId="1" fillId="0" borderId="0" xfId="0" applyNumberFormat="1" applyFont="1"/>
    <xf numFmtId="5" fontId="12" fillId="0" borderId="0" xfId="0" applyNumberFormat="1" applyFont="1" applyAlignment="1">
      <alignment horizontal="right" vertical="center"/>
    </xf>
    <xf numFmtId="0" fontId="3" fillId="2" borderId="0" xfId="0" applyFont="1" applyFill="1" applyAlignment="1">
      <alignment wrapText="1"/>
    </xf>
    <xf numFmtId="9" fontId="0" fillId="0" borderId="0" xfId="0" applyNumberFormat="1"/>
    <xf numFmtId="6" fontId="8" fillId="0" borderId="0" xfId="0" applyNumberFormat="1" applyFont="1"/>
    <xf numFmtId="173" fontId="0" fillId="0" borderId="0" xfId="0" applyNumberFormat="1"/>
    <xf numFmtId="0" fontId="11" fillId="3" borderId="0" xfId="0" applyFont="1" applyFill="1" applyAlignment="1">
      <alignment horizontal="center" vertical="center"/>
    </xf>
    <xf numFmtId="0" fontId="0" fillId="3" borderId="0" xfId="0" applyFill="1"/>
    <xf numFmtId="164" fontId="0" fillId="3" borderId="0" xfId="0" applyNumberFormat="1" applyFill="1"/>
    <xf numFmtId="0" fontId="3" fillId="3" borderId="0" xfId="0" applyFont="1" applyFill="1" applyAlignment="1">
      <alignment horizontal="left"/>
    </xf>
    <xf numFmtId="37" fontId="12" fillId="0" borderId="1" xfId="0" applyNumberFormat="1" applyFont="1" applyBorder="1" applyAlignment="1">
      <alignment horizontal="right" vertical="center"/>
    </xf>
    <xf numFmtId="37" fontId="13" fillId="0" borderId="1" xfId="0" applyNumberFormat="1" applyFont="1" applyBorder="1" applyAlignment="1">
      <alignment horizontal="right" vertical="center"/>
    </xf>
    <xf numFmtId="5" fontId="12" fillId="0" borderId="4" xfId="0" applyNumberFormat="1" applyFont="1" applyBorder="1" applyAlignment="1">
      <alignment horizontal="right" vertical="center"/>
    </xf>
    <xf numFmtId="38" fontId="8" fillId="0" borderId="1" xfId="0" applyNumberFormat="1" applyFont="1" applyBorder="1"/>
    <xf numFmtId="0" fontId="3" fillId="3" borderId="0" xfId="0" applyFont="1" applyFill="1"/>
    <xf numFmtId="6" fontId="0" fillId="3" borderId="0" xfId="0" applyNumberFormat="1" applyFill="1"/>
    <xf numFmtId="0" fontId="3" fillId="3" borderId="1" xfId="0" applyFont="1" applyFill="1" applyBorder="1" applyAlignment="1">
      <alignment horizontal="center"/>
    </xf>
    <xf numFmtId="0" fontId="3" fillId="3" borderId="0" xfId="0" applyFont="1" applyFill="1" applyAlignment="1">
      <alignment wrapText="1"/>
    </xf>
    <xf numFmtId="9" fontId="0" fillId="0" borderId="1" xfId="57" applyFont="1" applyBorder="1" applyAlignment="1">
      <alignment horizontal="center"/>
    </xf>
    <xf numFmtId="165" fontId="2" fillId="0" borderId="1" xfId="49" applyNumberFormat="1" applyFont="1" applyBorder="1" applyAlignment="1">
      <alignment horizontal="left"/>
    </xf>
    <xf numFmtId="165" fontId="2" fillId="0" borderId="4" xfId="49" applyNumberFormat="1" applyFont="1" applyBorder="1" applyAlignment="1">
      <alignment horizontal="left"/>
    </xf>
    <xf numFmtId="170" fontId="2" fillId="0" borderId="3" xfId="56" applyNumberFormat="1" applyFont="1" applyBorder="1" applyAlignment="1">
      <alignment horizontal="left"/>
    </xf>
    <xf numFmtId="0" fontId="0" fillId="0" borderId="0" xfId="0" applyAlignment="1">
      <alignment horizontal="left" wrapText="1"/>
    </xf>
    <xf numFmtId="0" fontId="0" fillId="0" borderId="0" xfId="0" applyAlignment="1">
      <alignment wrapText="1"/>
    </xf>
    <xf numFmtId="0" fontId="3" fillId="2" borderId="1" xfId="0" applyFont="1" applyFill="1" applyBorder="1" applyAlignment="1">
      <alignment horizontal="center"/>
    </xf>
    <xf numFmtId="0" fontId="3" fillId="2" borderId="1" xfId="0" applyFont="1" applyFill="1" applyBorder="1" applyAlignment="1">
      <alignment horizontal="center" wrapText="1"/>
    </xf>
    <xf numFmtId="0" fontId="3" fillId="3" borderId="1" xfId="0" applyFont="1" applyFill="1" applyBorder="1" applyAlignment="1">
      <alignment horizontal="center" wrapText="1"/>
    </xf>
    <xf numFmtId="37" fontId="8" fillId="0" borderId="1" xfId="0" applyNumberFormat="1" applyFont="1" applyBorder="1" applyAlignment="1">
      <alignment horizontal="right" vertical="center"/>
    </xf>
    <xf numFmtId="37" fontId="8" fillId="0" borderId="0" xfId="0" applyNumberFormat="1" applyFont="1"/>
    <xf numFmtId="166" fontId="8" fillId="0" borderId="1" xfId="0" applyNumberFormat="1" applyFont="1" applyBorder="1"/>
    <xf numFmtId="172" fontId="0" fillId="0" borderId="3" xfId="57" applyNumberFormat="1" applyFont="1" applyFill="1" applyBorder="1" applyAlignment="1">
      <alignment horizontal="center"/>
    </xf>
    <xf numFmtId="164" fontId="0" fillId="4" borderId="0" xfId="0" applyNumberFormat="1" applyFill="1"/>
    <xf numFmtId="0" fontId="0" fillId="4" borderId="0" xfId="0" applyFill="1" applyAlignment="1">
      <alignment horizontal="center"/>
    </xf>
    <xf numFmtId="0" fontId="0" fillId="4" borderId="0" xfId="0" applyFill="1"/>
    <xf numFmtId="0" fontId="0" fillId="5" borderId="0" xfId="0" applyFill="1"/>
    <xf numFmtId="0" fontId="0" fillId="5" borderId="0" xfId="0" applyFill="1" applyAlignment="1">
      <alignment horizontal="center"/>
    </xf>
    <xf numFmtId="7" fontId="0" fillId="0" borderId="0" xfId="0" applyNumberFormat="1"/>
    <xf numFmtId="0" fontId="3" fillId="6" borderId="0" xfId="0" applyFont="1" applyFill="1" applyAlignment="1">
      <alignment horizontal="left"/>
    </xf>
    <xf numFmtId="0" fontId="0" fillId="6" borderId="0" xfId="0" applyFill="1"/>
    <xf numFmtId="164" fontId="0" fillId="6" borderId="0" xfId="0" applyNumberFormat="1" applyFill="1"/>
    <xf numFmtId="6" fontId="0" fillId="6" borderId="0" xfId="0" applyNumberFormat="1" applyFill="1"/>
    <xf numFmtId="0" fontId="3" fillId="6" borderId="1" xfId="0" applyFont="1" applyFill="1" applyBorder="1" applyAlignment="1">
      <alignment horizontal="center" wrapText="1"/>
    </xf>
    <xf numFmtId="0" fontId="3" fillId="6" borderId="0" xfId="0" applyFont="1" applyFill="1"/>
    <xf numFmtId="0" fontId="3" fillId="6" borderId="1" xfId="0" applyFont="1" applyFill="1" applyBorder="1" applyAlignment="1">
      <alignment horizontal="center"/>
    </xf>
    <xf numFmtId="0" fontId="3" fillId="6" borderId="0" xfId="0" applyFont="1" applyFill="1" applyAlignment="1">
      <alignment wrapText="1"/>
    </xf>
    <xf numFmtId="172" fontId="2" fillId="0" borderId="3" xfId="0" applyNumberFormat="1" applyFont="1" applyBorder="1" applyAlignment="1">
      <alignment horizontal="center"/>
    </xf>
    <xf numFmtId="0" fontId="0" fillId="0" borderId="0" xfId="0" applyAlignment="1">
      <alignment vertical="top" wrapText="1"/>
    </xf>
    <xf numFmtId="166" fontId="8" fillId="0" borderId="0" xfId="0" applyNumberFormat="1" applyFont="1"/>
    <xf numFmtId="171" fontId="2" fillId="0" borderId="3" xfId="0" applyNumberFormat="1" applyFont="1" applyBorder="1" applyAlignment="1">
      <alignment horizontal="center"/>
    </xf>
    <xf numFmtId="164" fontId="0" fillId="0" borderId="3" xfId="0" applyNumberFormat="1" applyBorder="1" applyAlignment="1">
      <alignment horizontal="center"/>
    </xf>
    <xf numFmtId="3" fontId="2" fillId="0" borderId="0" xfId="0" applyNumberFormat="1" applyFont="1" applyAlignment="1">
      <alignment horizontal="center"/>
    </xf>
    <xf numFmtId="6" fontId="0" fillId="0" borderId="3" xfId="0" applyNumberFormat="1" applyBorder="1" applyAlignment="1">
      <alignment horizontal="right"/>
    </xf>
    <xf numFmtId="170" fontId="2" fillId="0" borderId="0" xfId="56" applyNumberFormat="1" applyFont="1" applyBorder="1" applyAlignment="1">
      <alignment horizontal="right"/>
    </xf>
    <xf numFmtId="170" fontId="2" fillId="0" borderId="0" xfId="56" applyNumberFormat="1" applyFont="1" applyBorder="1" applyAlignment="1">
      <alignment horizontal="left"/>
    </xf>
    <xf numFmtId="165" fontId="2" fillId="0" borderId="0" xfId="49" applyNumberFormat="1" applyFont="1" applyBorder="1" applyAlignment="1">
      <alignment horizontal="left"/>
    </xf>
    <xf numFmtId="0" fontId="2" fillId="0" borderId="0" xfId="0" applyFont="1" applyAlignment="1">
      <alignment horizontal="left" vertical="center"/>
    </xf>
    <xf numFmtId="165" fontId="2" fillId="0" borderId="3" xfId="49" applyNumberFormat="1" applyFont="1" applyBorder="1" applyAlignment="1">
      <alignment horizontal="left"/>
    </xf>
    <xf numFmtId="5" fontId="2" fillId="0" borderId="3" xfId="49" applyNumberFormat="1" applyFont="1" applyBorder="1" applyAlignment="1">
      <alignment horizontal="right"/>
    </xf>
    <xf numFmtId="170" fontId="0" fillId="0" borderId="0" xfId="0" applyNumberFormat="1" applyAlignment="1">
      <alignment horizontal="center"/>
    </xf>
    <xf numFmtId="170" fontId="0" fillId="0" borderId="3" xfId="0" applyNumberFormat="1" applyBorder="1" applyAlignment="1">
      <alignment horizontal="center"/>
    </xf>
    <xf numFmtId="167" fontId="0" fillId="0" borderId="0" xfId="57" applyNumberFormat="1" applyFont="1" applyFill="1" applyAlignment="1">
      <alignment horizontal="center"/>
    </xf>
    <xf numFmtId="167" fontId="0" fillId="0" borderId="1" xfId="57" applyNumberFormat="1" applyFont="1" applyFill="1" applyBorder="1" applyAlignment="1">
      <alignment horizontal="center"/>
    </xf>
    <xf numFmtId="167" fontId="9" fillId="0" borderId="3" xfId="57" applyNumberFormat="1" applyFont="1" applyFill="1" applyBorder="1" applyAlignment="1">
      <alignment horizontal="center"/>
    </xf>
    <xf numFmtId="2" fontId="2" fillId="0" borderId="0" xfId="0" applyNumberFormat="1" applyFont="1" applyAlignment="1">
      <alignment horizontal="center"/>
    </xf>
    <xf numFmtId="2" fontId="0" fillId="0" borderId="3" xfId="0" applyNumberFormat="1" applyBorder="1" applyAlignment="1">
      <alignment horizontal="center"/>
    </xf>
    <xf numFmtId="167" fontId="2" fillId="0" borderId="0" xfId="57" applyNumberFormat="1" applyFont="1" applyBorder="1" applyAlignment="1">
      <alignment horizontal="center"/>
    </xf>
    <xf numFmtId="167" fontId="2" fillId="0" borderId="1" xfId="0" applyNumberFormat="1" applyFont="1" applyBorder="1" applyAlignment="1">
      <alignment horizontal="center"/>
    </xf>
    <xf numFmtId="0" fontId="8" fillId="0" borderId="0" xfId="0" applyFont="1" applyAlignment="1">
      <alignment horizontal="left" vertical="center" wrapText="1"/>
    </xf>
    <xf numFmtId="0" fontId="8" fillId="0" borderId="0" xfId="0" applyFont="1" applyAlignment="1">
      <alignment horizontal="left" vertical="center" wrapText="1" indent="1"/>
    </xf>
    <xf numFmtId="0" fontId="8" fillId="0" borderId="0" xfId="0" applyFont="1" applyAlignment="1">
      <alignment horizontal="left" vertical="center" indent="1"/>
    </xf>
    <xf numFmtId="0" fontId="10" fillId="0" borderId="0" xfId="0" applyFont="1" applyAlignment="1">
      <alignment horizontal="left" vertical="center"/>
    </xf>
    <xf numFmtId="0" fontId="0" fillId="0" borderId="0" xfId="0" applyAlignment="1">
      <alignment horizontal="center"/>
    </xf>
    <xf numFmtId="0" fontId="11" fillId="2" borderId="0" xfId="0" applyFont="1" applyFill="1" applyAlignment="1">
      <alignment horizontal="center" vertical="center"/>
    </xf>
    <xf numFmtId="0" fontId="3" fillId="2" borderId="0" xfId="0" applyFont="1" applyFill="1" applyAlignment="1">
      <alignment horizontal="left"/>
    </xf>
    <xf numFmtId="0" fontId="3" fillId="2" borderId="0" xfId="0" applyFont="1" applyFill="1" applyAlignment="1">
      <alignment horizontal="center"/>
    </xf>
    <xf numFmtId="0" fontId="0" fillId="0" borderId="0" xfId="0" applyAlignment="1">
      <alignment horizontal="left" vertical="top" wrapText="1" indent="1"/>
    </xf>
    <xf numFmtId="0" fontId="2" fillId="0" borderId="0" xfId="0" applyFont="1" applyAlignment="1">
      <alignment horizontal="left" vertical="center" wrapText="1" indent="1"/>
    </xf>
    <xf numFmtId="0" fontId="0" fillId="0" borderId="7" xfId="0" applyBorder="1" applyAlignment="1">
      <alignment horizontal="left"/>
    </xf>
    <xf numFmtId="0" fontId="0" fillId="0" borderId="5" xfId="0" applyBorder="1" applyAlignment="1">
      <alignment horizontal="left"/>
    </xf>
    <xf numFmtId="0" fontId="0" fillId="0" borderId="0" xfId="0" applyAlignment="1">
      <alignment horizontal="left" wrapText="1"/>
    </xf>
    <xf numFmtId="0" fontId="11" fillId="3" borderId="0" xfId="0" applyFont="1" applyFill="1" applyAlignment="1">
      <alignment horizontal="center" vertical="center"/>
    </xf>
    <xf numFmtId="0" fontId="0" fillId="0" borderId="0" xfId="0" applyAlignment="1">
      <alignment horizontal="left"/>
    </xf>
    <xf numFmtId="0" fontId="3" fillId="3" borderId="0" xfId="0" applyFont="1" applyFill="1" applyAlignment="1">
      <alignment horizontal="left"/>
    </xf>
    <xf numFmtId="0" fontId="3" fillId="3" borderId="0" xfId="0" applyFont="1" applyFill="1" applyAlignment="1">
      <alignment horizontal="center"/>
    </xf>
    <xf numFmtId="0" fontId="3" fillId="3" borderId="1" xfId="0" applyFont="1" applyFill="1" applyBorder="1" applyAlignment="1">
      <alignment horizontal="center"/>
    </xf>
    <xf numFmtId="0" fontId="11" fillId="6" borderId="0" xfId="0" applyFont="1" applyFill="1" applyAlignment="1">
      <alignment horizontal="center" vertical="center"/>
    </xf>
    <xf numFmtId="0" fontId="3" fillId="6" borderId="0" xfId="0" applyFont="1" applyFill="1" applyAlignment="1">
      <alignment horizontal="left"/>
    </xf>
    <xf numFmtId="0" fontId="3" fillId="6" borderId="0" xfId="0" applyFont="1" applyFill="1" applyAlignment="1">
      <alignment horizontal="center"/>
    </xf>
  </cellXfs>
  <cellStyles count="60">
    <cellStyle name="Comma" xfId="49" builtinId="3"/>
    <cellStyle name="Currency" xfId="56" builtinId="4"/>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1" builtinId="9" hidden="1"/>
    <cellStyle name="Followed Hyperlink" xfId="53" builtinId="9" hidden="1"/>
    <cellStyle name="Followed Hyperlink" xfId="55" builtinId="9" hidden="1"/>
    <cellStyle name="Followed Hyperlink" xfId="59"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50" builtinId="8" hidden="1"/>
    <cellStyle name="Hyperlink" xfId="52" builtinId="8" hidden="1"/>
    <cellStyle name="Hyperlink" xfId="54" builtinId="8" hidden="1"/>
    <cellStyle name="Hyperlink" xfId="58" builtinId="8" hidden="1"/>
    <cellStyle name="Normal" xfId="0" builtinId="0"/>
    <cellStyle name="Percent" xfId="57" builtinId="5"/>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44450</xdr:colOff>
      <xdr:row>37</xdr:row>
      <xdr:rowOff>50800</xdr:rowOff>
    </xdr:from>
    <xdr:to>
      <xdr:col>6</xdr:col>
      <xdr:colOff>1320800</xdr:colOff>
      <xdr:row>43</xdr:row>
      <xdr:rowOff>97386</xdr:rowOff>
    </xdr:to>
    <xdr:pic>
      <xdr:nvPicPr>
        <xdr:cNvPr id="3" name="Picture 2">
          <a:extLst>
            <a:ext uri="{FF2B5EF4-FFF2-40B4-BE49-F238E27FC236}">
              <a16:creationId xmlns:a16="http://schemas.microsoft.com/office/drawing/2014/main" id="{4AA3D5B8-F0C1-89AC-24BF-C94C900B2D23}"/>
            </a:ext>
          </a:extLst>
        </xdr:cNvPr>
        <xdr:cNvPicPr>
          <a:picLocks noChangeAspect="1"/>
        </xdr:cNvPicPr>
      </xdr:nvPicPr>
      <xdr:blipFill>
        <a:blip xmlns:r="http://schemas.openxmlformats.org/officeDocument/2006/relationships" r:embed="rId1"/>
        <a:stretch>
          <a:fillRect/>
        </a:stretch>
      </xdr:blipFill>
      <xdr:spPr>
        <a:xfrm>
          <a:off x="5842000" y="8343900"/>
          <a:ext cx="5168900" cy="1227686"/>
        </a:xfrm>
        <a:prstGeom prst="rect">
          <a:avLst/>
        </a:prstGeom>
      </xdr:spPr>
    </xdr:pic>
    <xdr:clientData/>
  </xdr:twoCellAnchor>
  <xdr:twoCellAnchor editAs="oneCell">
    <xdr:from>
      <xdr:col>0</xdr:col>
      <xdr:colOff>254000</xdr:colOff>
      <xdr:row>37</xdr:row>
      <xdr:rowOff>31356</xdr:rowOff>
    </xdr:from>
    <xdr:to>
      <xdr:col>1</xdr:col>
      <xdr:colOff>1244900</xdr:colOff>
      <xdr:row>43</xdr:row>
      <xdr:rowOff>95320</xdr:rowOff>
    </xdr:to>
    <xdr:pic>
      <xdr:nvPicPr>
        <xdr:cNvPr id="7" name="Picture 6">
          <a:extLst>
            <a:ext uri="{FF2B5EF4-FFF2-40B4-BE49-F238E27FC236}">
              <a16:creationId xmlns:a16="http://schemas.microsoft.com/office/drawing/2014/main" id="{C0FF2A21-4116-EA64-795E-E777161DE3C6}"/>
            </a:ext>
          </a:extLst>
        </xdr:cNvPr>
        <xdr:cNvPicPr>
          <a:picLocks noChangeAspect="1"/>
        </xdr:cNvPicPr>
      </xdr:nvPicPr>
      <xdr:blipFill>
        <a:blip xmlns:r="http://schemas.openxmlformats.org/officeDocument/2006/relationships" r:embed="rId2"/>
        <a:stretch>
          <a:fillRect/>
        </a:stretch>
      </xdr:blipFill>
      <xdr:spPr>
        <a:xfrm>
          <a:off x="254000" y="6749656"/>
          <a:ext cx="5366050" cy="124506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73BF9-35D1-48EA-B0CA-E1E7C4E55298}">
  <sheetPr>
    <pageSetUpPr fitToPage="1"/>
  </sheetPr>
  <dimension ref="A1:F34"/>
  <sheetViews>
    <sheetView workbookViewId="0">
      <selection activeCell="H13" sqref="H13"/>
    </sheetView>
  </sheetViews>
  <sheetFormatPr defaultRowHeight="15.5"/>
  <cols>
    <col min="1" max="1" width="9.25" customWidth="1"/>
    <col min="2" max="2" width="3.75" customWidth="1"/>
    <col min="3" max="3" width="44.33203125" customWidth="1"/>
    <col min="4" max="4" width="11.33203125" customWidth="1"/>
    <col min="5" max="5" width="9.25" customWidth="1"/>
    <col min="6" max="6" width="13.9140625" bestFit="1" customWidth="1"/>
  </cols>
  <sheetData>
    <row r="1" spans="1:6">
      <c r="A1" s="137" t="s">
        <v>20</v>
      </c>
      <c r="B1" s="137"/>
      <c r="C1" s="137"/>
      <c r="D1" s="137"/>
      <c r="E1" s="137"/>
    </row>
    <row r="2" spans="1:6" ht="76.5" customHeight="1">
      <c r="A2" s="134" t="s">
        <v>91</v>
      </c>
      <c r="B2" s="134"/>
      <c r="C2" s="134"/>
      <c r="D2" s="134"/>
      <c r="E2" s="134"/>
    </row>
    <row r="3" spans="1:6">
      <c r="A3" s="138"/>
      <c r="B3" s="138"/>
      <c r="C3" s="138"/>
      <c r="D3" s="138"/>
      <c r="E3" s="138"/>
    </row>
    <row r="4" spans="1:6">
      <c r="B4" s="139" t="s">
        <v>71</v>
      </c>
      <c r="C4" s="139"/>
      <c r="D4" s="139"/>
    </row>
    <row r="5" spans="1:6">
      <c r="B5" s="15" t="s">
        <v>26</v>
      </c>
      <c r="D5" s="13"/>
    </row>
    <row r="6" spans="1:6">
      <c r="C6" s="15" t="s">
        <v>9</v>
      </c>
      <c r="D6" s="68">
        <v>14140000</v>
      </c>
      <c r="E6" s="21"/>
      <c r="F6" s="16"/>
    </row>
    <row r="7" spans="1:6">
      <c r="C7" s="15" t="s">
        <v>13</v>
      </c>
      <c r="D7" s="77">
        <v>8080000</v>
      </c>
      <c r="E7" s="22"/>
      <c r="F7" s="16"/>
    </row>
    <row r="8" spans="1:6">
      <c r="C8" s="15" t="s">
        <v>16</v>
      </c>
      <c r="D8" s="68">
        <f>D6-D7</f>
        <v>6060000</v>
      </c>
      <c r="F8" s="16"/>
    </row>
    <row r="9" spans="1:6">
      <c r="C9" s="15" t="s">
        <v>25</v>
      </c>
      <c r="D9" s="66">
        <v>70000</v>
      </c>
      <c r="F9" s="16"/>
    </row>
    <row r="10" spans="1:6">
      <c r="C10" s="15" t="s">
        <v>94</v>
      </c>
      <c r="D10" s="78">
        <f>45500-200000</f>
        <v>-154500</v>
      </c>
      <c r="F10" s="16"/>
    </row>
    <row r="11" spans="1:6">
      <c r="B11" s="15" t="s">
        <v>32</v>
      </c>
      <c r="D11" s="68">
        <f>SUM(D8:D10)</f>
        <v>5975500</v>
      </c>
      <c r="F11" s="16"/>
    </row>
    <row r="12" spans="1:6">
      <c r="B12" s="15" t="s">
        <v>31</v>
      </c>
      <c r="D12" s="67"/>
      <c r="F12" s="16"/>
    </row>
    <row r="13" spans="1:6">
      <c r="C13" s="15" t="s">
        <v>17</v>
      </c>
      <c r="D13" s="68">
        <v>2100000</v>
      </c>
      <c r="F13" s="16"/>
    </row>
    <row r="14" spans="1:6">
      <c r="C14" s="15" t="s">
        <v>34</v>
      </c>
      <c r="D14" s="66">
        <v>390000</v>
      </c>
      <c r="F14" s="16"/>
    </row>
    <row r="15" spans="1:6">
      <c r="C15" s="15" t="s">
        <v>12</v>
      </c>
      <c r="D15" s="66">
        <v>800000</v>
      </c>
      <c r="F15" s="16"/>
    </row>
    <row r="16" spans="1:6">
      <c r="C16" s="15" t="s">
        <v>10</v>
      </c>
      <c r="D16" s="66">
        <v>56000</v>
      </c>
      <c r="F16" s="16"/>
    </row>
    <row r="17" spans="1:6">
      <c r="C17" s="15" t="s">
        <v>14</v>
      </c>
      <c r="D17" s="66">
        <v>900000</v>
      </c>
      <c r="E17" s="22"/>
      <c r="F17" s="16"/>
    </row>
    <row r="18" spans="1:6">
      <c r="C18" s="15" t="s">
        <v>42</v>
      </c>
      <c r="D18" s="66">
        <v>25000</v>
      </c>
      <c r="F18" s="16"/>
    </row>
    <row r="19" spans="1:6">
      <c r="C19" s="15" t="s">
        <v>95</v>
      </c>
      <c r="D19" s="66">
        <v>179000</v>
      </c>
      <c r="E19" s="21"/>
      <c r="F19" s="16"/>
    </row>
    <row r="20" spans="1:6">
      <c r="C20" s="15" t="s">
        <v>15</v>
      </c>
      <c r="D20" s="66">
        <v>210000</v>
      </c>
      <c r="F20" s="16"/>
    </row>
    <row r="21" spans="1:6">
      <c r="C21" s="15" t="s">
        <v>11</v>
      </c>
      <c r="D21" s="77">
        <v>130000</v>
      </c>
      <c r="F21" s="16"/>
    </row>
    <row r="22" spans="1:6">
      <c r="B22" s="15" t="s">
        <v>27</v>
      </c>
      <c r="D22" s="79">
        <f>SUM(D13:D21)</f>
        <v>4790000</v>
      </c>
      <c r="F22" s="16"/>
    </row>
    <row r="23" spans="1:6">
      <c r="B23" s="18" t="s">
        <v>28</v>
      </c>
      <c r="C23" s="15"/>
      <c r="D23" s="68">
        <f>D11-D22</f>
        <v>1185500</v>
      </c>
      <c r="F23" s="16"/>
    </row>
    <row r="24" spans="1:6">
      <c r="B24" s="18"/>
      <c r="C24" s="15"/>
      <c r="D24" s="68"/>
      <c r="F24" s="16"/>
    </row>
    <row r="25" spans="1:6" ht="30.5" customHeight="1">
      <c r="A25" s="134" t="s">
        <v>113</v>
      </c>
      <c r="B25" s="134"/>
      <c r="C25" s="134"/>
      <c r="D25" s="134"/>
      <c r="E25" s="134"/>
    </row>
    <row r="26" spans="1:6" ht="29" customHeight="1">
      <c r="A26" s="135" t="s">
        <v>114</v>
      </c>
      <c r="B26" s="135"/>
      <c r="C26" s="135"/>
      <c r="D26" s="135"/>
      <c r="E26" s="135"/>
    </row>
    <row r="27" spans="1:6" ht="46" customHeight="1">
      <c r="A27" s="135" t="s">
        <v>105</v>
      </c>
      <c r="B27" s="135"/>
      <c r="C27" s="135"/>
      <c r="D27" s="135"/>
      <c r="E27" s="135"/>
    </row>
    <row r="28" spans="1:6">
      <c r="A28" s="136" t="s">
        <v>68</v>
      </c>
      <c r="B28" s="136"/>
      <c r="C28" s="136"/>
      <c r="D28" s="136"/>
      <c r="E28" s="136"/>
    </row>
    <row r="29" spans="1:6">
      <c r="A29" s="136" t="s">
        <v>93</v>
      </c>
      <c r="B29" s="136"/>
      <c r="C29" s="136"/>
      <c r="D29" s="136"/>
      <c r="E29" s="136"/>
    </row>
    <row r="30" spans="1:6" ht="32" customHeight="1">
      <c r="A30" s="135" t="s">
        <v>92</v>
      </c>
      <c r="B30" s="135"/>
      <c r="C30" s="135"/>
      <c r="D30" s="135"/>
      <c r="E30" s="135"/>
    </row>
    <row r="31" spans="1:6">
      <c r="A31" s="136" t="s">
        <v>69</v>
      </c>
      <c r="B31" s="136"/>
      <c r="C31" s="136"/>
      <c r="D31" s="136"/>
      <c r="E31" s="136"/>
    </row>
    <row r="32" spans="1:6">
      <c r="A32" s="24"/>
      <c r="B32" s="24"/>
      <c r="C32" s="24"/>
      <c r="D32" s="24"/>
      <c r="E32" s="24"/>
    </row>
    <row r="33" spans="1:5" ht="62.5" customHeight="1">
      <c r="A33" s="134" t="s">
        <v>145</v>
      </c>
      <c r="B33" s="134"/>
      <c r="C33" s="134"/>
      <c r="D33" s="134"/>
      <c r="E33" s="134"/>
    </row>
    <row r="34" spans="1:5">
      <c r="C34" s="14"/>
    </row>
  </sheetData>
  <mergeCells count="12">
    <mergeCell ref="A1:E1"/>
    <mergeCell ref="A3:E3"/>
    <mergeCell ref="A25:E25"/>
    <mergeCell ref="B4:D4"/>
    <mergeCell ref="A2:E2"/>
    <mergeCell ref="A33:E33"/>
    <mergeCell ref="A26:E26"/>
    <mergeCell ref="A31:E31"/>
    <mergeCell ref="A30:E30"/>
    <mergeCell ref="A29:E29"/>
    <mergeCell ref="A28:E28"/>
    <mergeCell ref="A27:E27"/>
  </mergeCells>
  <pageMargins left="0.7" right="0.7" top="0.75" bottom="0.75" header="0.3" footer="0.3"/>
  <pageSetup scale="9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02D0F-E6A4-414C-9A89-20413FA0FEDE}">
  <dimension ref="A1:F30"/>
  <sheetViews>
    <sheetView tabSelected="1" topLeftCell="A23" workbookViewId="0">
      <selection sqref="A1:E1"/>
    </sheetView>
  </sheetViews>
  <sheetFormatPr defaultRowHeight="15.5"/>
  <cols>
    <col min="1" max="1" width="9.25" customWidth="1"/>
    <col min="2" max="2" width="3.75" customWidth="1"/>
    <col min="3" max="3" width="44.33203125" customWidth="1"/>
    <col min="4" max="4" width="11.33203125" customWidth="1"/>
    <col min="5" max="5" width="9.25" customWidth="1"/>
    <col min="6" max="6" width="13.9140625" bestFit="1" customWidth="1"/>
  </cols>
  <sheetData>
    <row r="1" spans="1:6">
      <c r="A1" s="137" t="s">
        <v>100</v>
      </c>
      <c r="B1" s="137"/>
      <c r="C1" s="137"/>
      <c r="D1" s="137"/>
      <c r="E1" s="137"/>
    </row>
    <row r="2" spans="1:6" ht="76.5" customHeight="1">
      <c r="A2" s="134" t="s">
        <v>101</v>
      </c>
      <c r="B2" s="134"/>
      <c r="C2" s="134"/>
      <c r="D2" s="134"/>
      <c r="E2" s="134"/>
    </row>
    <row r="3" spans="1:6">
      <c r="A3" s="138"/>
      <c r="B3" s="138"/>
      <c r="C3" s="138"/>
      <c r="D3" s="138"/>
      <c r="E3" s="138"/>
    </row>
    <row r="4" spans="1:6">
      <c r="B4" s="152" t="s">
        <v>71</v>
      </c>
      <c r="C4" s="152"/>
      <c r="D4" s="152"/>
    </row>
    <row r="5" spans="1:6">
      <c r="B5" s="15" t="s">
        <v>26</v>
      </c>
      <c r="D5" s="13"/>
    </row>
    <row r="6" spans="1:6">
      <c r="C6" s="15" t="s">
        <v>9</v>
      </c>
      <c r="D6" s="68">
        <v>8700400</v>
      </c>
      <c r="E6" s="21"/>
      <c r="F6" s="16"/>
    </row>
    <row r="7" spans="1:6">
      <c r="C7" s="15" t="s">
        <v>13</v>
      </c>
      <c r="D7" s="77">
        <v>5650000</v>
      </c>
      <c r="E7" s="22"/>
      <c r="F7" s="16"/>
    </row>
    <row r="8" spans="1:6">
      <c r="C8" s="15" t="s">
        <v>16</v>
      </c>
      <c r="D8" s="68">
        <f>D6-D7</f>
        <v>3050400</v>
      </c>
      <c r="F8" s="16"/>
    </row>
    <row r="9" spans="1:6">
      <c r="C9" s="15" t="s">
        <v>94</v>
      </c>
      <c r="D9" s="78">
        <v>18000</v>
      </c>
      <c r="F9" s="16"/>
    </row>
    <row r="10" spans="1:6">
      <c r="B10" s="15" t="s">
        <v>32</v>
      </c>
      <c r="D10" s="68">
        <f>SUM(D8:D9)</f>
        <v>3068400</v>
      </c>
      <c r="F10" s="16"/>
    </row>
    <row r="11" spans="1:6">
      <c r="B11" s="15" t="s">
        <v>31</v>
      </c>
      <c r="D11" s="67"/>
      <c r="F11" s="16"/>
    </row>
    <row r="12" spans="1:6">
      <c r="C12" s="15" t="s">
        <v>75</v>
      </c>
      <c r="D12" s="68">
        <v>800000</v>
      </c>
      <c r="F12" s="16"/>
    </row>
    <row r="13" spans="1:6">
      <c r="C13" s="15" t="s">
        <v>12</v>
      </c>
      <c r="D13" s="66">
        <v>330000</v>
      </c>
      <c r="F13" s="16"/>
    </row>
    <row r="14" spans="1:6">
      <c r="C14" s="15" t="s">
        <v>14</v>
      </c>
      <c r="D14" s="66">
        <v>370000</v>
      </c>
      <c r="E14" s="22"/>
      <c r="F14" s="16"/>
    </row>
    <row r="15" spans="1:6">
      <c r="C15" s="15" t="s">
        <v>103</v>
      </c>
      <c r="D15" s="66">
        <v>240000</v>
      </c>
      <c r="F15" s="16"/>
    </row>
    <row r="16" spans="1:6">
      <c r="C16" s="15" t="s">
        <v>102</v>
      </c>
      <c r="D16" s="66">
        <v>38000</v>
      </c>
      <c r="E16" s="21"/>
      <c r="F16" s="16"/>
    </row>
    <row r="17" spans="1:6">
      <c r="C17" s="15" t="s">
        <v>104</v>
      </c>
      <c r="D17" s="66">
        <v>2900</v>
      </c>
      <c r="E17" s="21"/>
      <c r="F17" s="16"/>
    </row>
    <row r="18" spans="1:6">
      <c r="C18" s="15" t="s">
        <v>15</v>
      </c>
      <c r="D18" s="66">
        <v>78000</v>
      </c>
      <c r="E18" s="103"/>
      <c r="F18" s="16"/>
    </row>
    <row r="19" spans="1:6">
      <c r="B19" s="15" t="s">
        <v>27</v>
      </c>
      <c r="D19" s="79">
        <f>SUM(D12:D18)</f>
        <v>1858900</v>
      </c>
      <c r="F19" s="16"/>
    </row>
    <row r="20" spans="1:6">
      <c r="B20" s="18" t="s">
        <v>28</v>
      </c>
      <c r="C20" s="15"/>
      <c r="D20" s="68">
        <f>D10-D19</f>
        <v>1209500</v>
      </c>
      <c r="F20" s="16"/>
    </row>
    <row r="21" spans="1:6">
      <c r="A21" s="138"/>
      <c r="B21" s="138"/>
      <c r="C21" s="138"/>
      <c r="D21" s="138"/>
      <c r="E21" s="138"/>
      <c r="F21" s="16"/>
    </row>
    <row r="22" spans="1:6" ht="30.5" customHeight="1">
      <c r="A22" s="134" t="s">
        <v>134</v>
      </c>
      <c r="B22" s="134"/>
      <c r="C22" s="134"/>
      <c r="D22" s="134"/>
      <c r="E22" s="134"/>
    </row>
    <row r="23" spans="1:6" ht="15.5" customHeight="1">
      <c r="A23" s="135" t="s">
        <v>106</v>
      </c>
      <c r="B23" s="135"/>
      <c r="C23" s="135"/>
      <c r="D23" s="135"/>
      <c r="E23" s="135"/>
    </row>
    <row r="24" spans="1:6" ht="48" customHeight="1">
      <c r="A24" s="135" t="s">
        <v>107</v>
      </c>
      <c r="B24" s="135"/>
      <c r="C24" s="135"/>
      <c r="D24" s="135"/>
      <c r="E24" s="135"/>
    </row>
    <row r="25" spans="1:6" ht="30.5" customHeight="1">
      <c r="A25" s="135" t="s">
        <v>132</v>
      </c>
      <c r="B25" s="135"/>
      <c r="C25" s="135"/>
      <c r="D25" s="135"/>
      <c r="E25" s="135"/>
    </row>
    <row r="26" spans="1:6" ht="15.5" customHeight="1">
      <c r="A26" s="135" t="s">
        <v>133</v>
      </c>
      <c r="B26" s="135"/>
      <c r="C26" s="135"/>
      <c r="D26" s="135"/>
      <c r="E26" s="135"/>
    </row>
    <row r="27" spans="1:6" ht="31" customHeight="1">
      <c r="A27" s="135" t="s">
        <v>131</v>
      </c>
      <c r="B27" s="135"/>
      <c r="C27" s="135"/>
      <c r="D27" s="135"/>
      <c r="E27" s="135"/>
    </row>
    <row r="29" spans="1:6" ht="61" customHeight="1">
      <c r="A29" s="134" t="s">
        <v>147</v>
      </c>
      <c r="B29" s="134"/>
      <c r="C29" s="134"/>
      <c r="D29" s="134"/>
      <c r="E29" s="134"/>
    </row>
    <row r="30" spans="1:6">
      <c r="C30" s="14"/>
    </row>
  </sheetData>
  <mergeCells count="12">
    <mergeCell ref="A22:E22"/>
    <mergeCell ref="A1:E1"/>
    <mergeCell ref="A2:E2"/>
    <mergeCell ref="A3:E3"/>
    <mergeCell ref="B4:D4"/>
    <mergeCell ref="A21:E21"/>
    <mergeCell ref="A29:E29"/>
    <mergeCell ref="A26:E26"/>
    <mergeCell ref="A27:E27"/>
    <mergeCell ref="A23:E23"/>
    <mergeCell ref="A24:E24"/>
    <mergeCell ref="A25:E2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73D04-25A6-45C0-9BFA-1815DA5770DC}">
  <sheetPr>
    <pageSetUpPr fitToPage="1"/>
  </sheetPr>
  <dimension ref="A1:H37"/>
  <sheetViews>
    <sheetView workbookViewId="0">
      <selection sqref="A1:C1"/>
    </sheetView>
  </sheetViews>
  <sheetFormatPr defaultColWidth="11" defaultRowHeight="15.5"/>
  <cols>
    <col min="1" max="1" width="55.25" customWidth="1"/>
    <col min="2" max="3" width="18.6640625" style="3" customWidth="1"/>
    <col min="4" max="4" width="2.6640625" customWidth="1"/>
    <col min="5" max="5" width="18.4140625" customWidth="1"/>
    <col min="6" max="6" width="11.33203125" bestFit="1" customWidth="1"/>
    <col min="7" max="7" width="18.83203125" customWidth="1"/>
  </cols>
  <sheetData>
    <row r="1" spans="1:8">
      <c r="A1" s="153" t="s">
        <v>108</v>
      </c>
      <c r="B1" s="153"/>
      <c r="C1" s="153"/>
    </row>
    <row r="2" spans="1:8">
      <c r="A2" s="1"/>
      <c r="B2" s="1"/>
      <c r="C2" s="1"/>
      <c r="E2" s="154" t="s">
        <v>33</v>
      </c>
      <c r="F2" s="154"/>
      <c r="G2" s="154"/>
      <c r="H2" s="154"/>
    </row>
    <row r="3" spans="1:8">
      <c r="A3" s="1"/>
      <c r="B3" s="1"/>
      <c r="C3" s="1"/>
      <c r="E3" s="154" t="s">
        <v>23</v>
      </c>
      <c r="F3" s="154"/>
      <c r="G3" s="154" t="s">
        <v>24</v>
      </c>
      <c r="H3" s="154"/>
    </row>
    <row r="4" spans="1:8">
      <c r="A4" s="31" t="s">
        <v>115</v>
      </c>
    </row>
    <row r="5" spans="1:8">
      <c r="A5" s="1"/>
      <c r="B5" s="29" t="s">
        <v>5</v>
      </c>
      <c r="C5" s="29" t="s">
        <v>55</v>
      </c>
    </row>
    <row r="6" spans="1:8">
      <c r="A6" t="s">
        <v>78</v>
      </c>
      <c r="B6" s="4">
        <f>Case3!D14-0</f>
        <v>370000</v>
      </c>
      <c r="C6" s="3" t="s">
        <v>3</v>
      </c>
      <c r="E6" s="105" t="s">
        <v>45</v>
      </c>
      <c r="F6" s="106">
        <f>B6*0.21</f>
        <v>77700</v>
      </c>
      <c r="G6" s="105" t="s">
        <v>40</v>
      </c>
      <c r="H6" s="106">
        <f>F6</f>
        <v>77700</v>
      </c>
    </row>
    <row r="7" spans="1:8" ht="10.5" customHeight="1">
      <c r="B7" s="4"/>
    </row>
    <row r="8" spans="1:8">
      <c r="A8" t="s">
        <v>110</v>
      </c>
      <c r="B8" s="4" t="s">
        <v>4</v>
      </c>
      <c r="C8" s="3" t="s">
        <v>4</v>
      </c>
      <c r="E8" s="105" t="s">
        <v>47</v>
      </c>
      <c r="F8" s="106">
        <f>80000</f>
        <v>80000</v>
      </c>
      <c r="G8" s="105" t="s">
        <v>40</v>
      </c>
      <c r="H8" s="106">
        <f>F8</f>
        <v>80000</v>
      </c>
    </row>
    <row r="9" spans="1:8">
      <c r="B9" s="4"/>
    </row>
    <row r="10" spans="1:8">
      <c r="A10" s="30" t="s">
        <v>50</v>
      </c>
      <c r="B10" s="1"/>
      <c r="C10" s="1"/>
      <c r="E10" s="29"/>
      <c r="F10" s="29"/>
      <c r="G10" s="29"/>
      <c r="H10" s="29"/>
    </row>
    <row r="11" spans="1:8">
      <c r="A11" s="25" t="str">
        <f>Case1!B23</f>
        <v>Earnings before income taxes</v>
      </c>
      <c r="B11" s="33">
        <f>Case3!D20</f>
        <v>1209500</v>
      </c>
      <c r="C11" s="1"/>
      <c r="E11" s="29"/>
      <c r="F11" s="29"/>
      <c r="G11" s="29"/>
      <c r="H11" s="29"/>
    </row>
    <row r="12" spans="1:8">
      <c r="A12" s="25" t="str">
        <f>Case3!C14</f>
        <v>Depreciation</v>
      </c>
      <c r="B12" s="43">
        <f>Case3!D14</f>
        <v>370000</v>
      </c>
      <c r="C12" s="1"/>
      <c r="E12" s="29"/>
      <c r="F12" s="29"/>
      <c r="G12" s="29"/>
      <c r="H12" s="29"/>
    </row>
    <row r="13" spans="1:8">
      <c r="A13" s="25" t="str">
        <f>Case3!C15</f>
        <v>Legal settlement</v>
      </c>
      <c r="B13" s="43">
        <f>Case3!D15</f>
        <v>240000</v>
      </c>
    </row>
    <row r="14" spans="1:8">
      <c r="A14" s="25" t="str">
        <f>Case3!C16</f>
        <v>Fines and penalties</v>
      </c>
      <c r="B14" s="43">
        <f>Case3!D16</f>
        <v>38000</v>
      </c>
    </row>
    <row r="15" spans="1:8">
      <c r="A15" s="25" t="str">
        <f>Case3!C17</f>
        <v>Life insurance</v>
      </c>
      <c r="B15" s="43">
        <f>Case3!D17</f>
        <v>2900</v>
      </c>
    </row>
    <row r="16" spans="1:8" ht="16" thickBot="1">
      <c r="A16" s="25" t="s">
        <v>51</v>
      </c>
      <c r="B16" s="49">
        <f>SUM(B11:B15)</f>
        <v>1860400</v>
      </c>
    </row>
    <row r="17" spans="1:8" ht="16" thickTop="1">
      <c r="A17" s="25"/>
      <c r="B17" s="119"/>
    </row>
    <row r="18" spans="1:8" ht="31" customHeight="1">
      <c r="A18" s="146" t="s">
        <v>136</v>
      </c>
      <c r="B18" s="146"/>
      <c r="C18" s="146"/>
    </row>
    <row r="19" spans="1:8">
      <c r="B19" s="44"/>
    </row>
    <row r="20" spans="1:8">
      <c r="A20" s="31" t="s">
        <v>52</v>
      </c>
      <c r="B20" s="44"/>
    </row>
    <row r="21" spans="1:8">
      <c r="A21" t="s">
        <v>53</v>
      </c>
      <c r="B21" s="47">
        <f>B16*0.21</f>
        <v>390684</v>
      </c>
    </row>
    <row r="22" spans="1:8">
      <c r="A22" t="s">
        <v>6</v>
      </c>
      <c r="B22" s="46">
        <v>0</v>
      </c>
    </row>
    <row r="23" spans="1:8" ht="16" thickBot="1">
      <c r="A23" t="s">
        <v>54</v>
      </c>
      <c r="B23" s="48">
        <f>SUM(B21:B22)</f>
        <v>390684</v>
      </c>
      <c r="E23" s="105" t="s">
        <v>36</v>
      </c>
      <c r="F23" s="107">
        <f>B23</f>
        <v>390684</v>
      </c>
      <c r="G23" s="105" t="s">
        <v>44</v>
      </c>
      <c r="H23" s="107">
        <f>F23</f>
        <v>390684</v>
      </c>
    </row>
    <row r="24" spans="1:8" ht="16" thickTop="1">
      <c r="B24" s="6"/>
    </row>
    <row r="26" spans="1:8">
      <c r="A26" s="144" t="s">
        <v>121</v>
      </c>
      <c r="B26" s="145"/>
    </row>
    <row r="27" spans="1:8">
      <c r="B27" s="36" t="s">
        <v>7</v>
      </c>
      <c r="C27" s="36" t="s">
        <v>8</v>
      </c>
    </row>
    <row r="28" spans="1:8">
      <c r="A28" t="s">
        <v>56</v>
      </c>
      <c r="B28" s="37">
        <f>Case3!D20*0.21</f>
        <v>253995</v>
      </c>
      <c r="C28" s="38">
        <v>21</v>
      </c>
    </row>
    <row r="29" spans="1:8">
      <c r="A29" t="str">
        <f>A13</f>
        <v>Legal settlement</v>
      </c>
      <c r="B29" s="5">
        <f>B13*0.21</f>
        <v>50400</v>
      </c>
      <c r="C29" s="39">
        <f>B29/Case3!$D$20*100</f>
        <v>4.1670111616370402</v>
      </c>
    </row>
    <row r="30" spans="1:8">
      <c r="A30" t="str">
        <f>A14</f>
        <v>Fines and penalties</v>
      </c>
      <c r="B30" s="5">
        <f>B14*0.21</f>
        <v>7980</v>
      </c>
      <c r="C30" s="39">
        <f>B30/Case3!$D$20*100</f>
        <v>0.65977676725919809</v>
      </c>
    </row>
    <row r="31" spans="1:8">
      <c r="A31" t="str">
        <f>A15</f>
        <v>Life insurance</v>
      </c>
      <c r="B31" s="5">
        <f>B15*0.21</f>
        <v>609</v>
      </c>
      <c r="C31" s="39">
        <f>B31/Case3!$D$20*100</f>
        <v>5.0351384869780899E-2</v>
      </c>
    </row>
    <row r="32" spans="1:8">
      <c r="A32" t="str">
        <f>A8</f>
        <v>Releasing valuation allowance</v>
      </c>
      <c r="B32" s="40">
        <f>-H8</f>
        <v>-80000</v>
      </c>
      <c r="C32" s="39">
        <f>B32/Case3!$D$20*100</f>
        <v>-6.6143034311699047</v>
      </c>
    </row>
    <row r="33" spans="1:3" ht="16" thickBot="1">
      <c r="A33" t="s">
        <v>57</v>
      </c>
      <c r="B33" s="10">
        <f>SUM(B28:B32)</f>
        <v>232984</v>
      </c>
      <c r="C33" s="97">
        <f>B33/Case3!$D$20*100</f>
        <v>19.262835882596114</v>
      </c>
    </row>
    <row r="34" spans="1:3" ht="16" thickTop="1"/>
    <row r="35" spans="1:3">
      <c r="A35" t="s">
        <v>118</v>
      </c>
    </row>
    <row r="36" spans="1:3" ht="63" customHeight="1">
      <c r="A36" s="143" t="s">
        <v>148</v>
      </c>
      <c r="B36" s="143"/>
      <c r="C36" s="143"/>
    </row>
    <row r="37" spans="1:3">
      <c r="A37" s="20"/>
    </row>
  </sheetData>
  <mergeCells count="7">
    <mergeCell ref="A36:C36"/>
    <mergeCell ref="A1:C1"/>
    <mergeCell ref="E2:H2"/>
    <mergeCell ref="E3:F3"/>
    <mergeCell ref="G3:H3"/>
    <mergeCell ref="A18:C18"/>
    <mergeCell ref="A26:B26"/>
  </mergeCells>
  <dataValidations count="1">
    <dataValidation type="list" allowBlank="1" showInputMessage="1" showErrorMessage="1" sqref="C6:C8" xr:uid="{270EF338-4ADB-44E7-9378-2A26060DE7A8}">
      <formula1>Effect</formula1>
    </dataValidation>
  </dataValidations>
  <pageMargins left="0.7" right="0.7" top="0.75" bottom="0.75" header="0.3" footer="0.3"/>
  <pageSetup scale="72"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AFBB4-0F26-48A6-9D0F-E5B2C7D76040}">
  <sheetPr>
    <pageSetUpPr fitToPage="1"/>
  </sheetPr>
  <dimension ref="A1:H32"/>
  <sheetViews>
    <sheetView workbookViewId="0">
      <selection sqref="A1:F1"/>
    </sheetView>
  </sheetViews>
  <sheetFormatPr defaultColWidth="11" defaultRowHeight="15.5"/>
  <cols>
    <col min="1" max="1" width="30.58203125" customWidth="1"/>
    <col min="2" max="2" width="10.75" style="3" customWidth="1"/>
    <col min="3" max="3" width="3.25" style="3" customWidth="1"/>
    <col min="4" max="4" width="57.83203125" customWidth="1"/>
    <col min="5" max="5" width="9.75" customWidth="1"/>
    <col min="6" max="6" width="6.9140625" customWidth="1"/>
    <col min="7" max="7" width="1.5" customWidth="1"/>
  </cols>
  <sheetData>
    <row r="1" spans="1:8" ht="17.5" customHeight="1">
      <c r="A1" s="153" t="s">
        <v>109</v>
      </c>
      <c r="B1" s="153"/>
      <c r="C1" s="153"/>
      <c r="D1" s="153"/>
      <c r="E1" s="153"/>
      <c r="F1" s="153"/>
    </row>
    <row r="2" spans="1:8">
      <c r="A2" s="1"/>
      <c r="B2" s="1"/>
      <c r="C2" s="1"/>
    </row>
    <row r="3" spans="1:8" ht="20" customHeight="1">
      <c r="A3" s="104" t="s">
        <v>35</v>
      </c>
      <c r="B3" s="108" t="s">
        <v>99</v>
      </c>
      <c r="C3" s="27"/>
      <c r="D3" s="109" t="s">
        <v>65</v>
      </c>
      <c r="E3" s="110" t="s">
        <v>7</v>
      </c>
      <c r="F3" s="110" t="s">
        <v>8</v>
      </c>
    </row>
    <row r="4" spans="1:8" ht="20" customHeight="1">
      <c r="A4" s="25" t="s">
        <v>141</v>
      </c>
      <c r="B4" s="28"/>
      <c r="C4" s="1"/>
      <c r="D4" s="25" t="s">
        <v>56</v>
      </c>
      <c r="E4" s="54">
        <f>Case3!D20*0.21</f>
        <v>253995</v>
      </c>
      <c r="F4" s="55">
        <v>21</v>
      </c>
    </row>
    <row r="5" spans="1:8" s="20" customFormat="1" ht="20" customHeight="1">
      <c r="A5" s="25" t="s">
        <v>37</v>
      </c>
      <c r="B5" s="51">
        <f>'C3Work'!F23</f>
        <v>390684</v>
      </c>
      <c r="C5" s="1"/>
      <c r="D5" s="53" t="s">
        <v>58</v>
      </c>
      <c r="E5" s="56" t="s">
        <v>66</v>
      </c>
      <c r="F5" s="55" t="s">
        <v>66</v>
      </c>
    </row>
    <row r="6" spans="1:8" s="20" customFormat="1" ht="20" customHeight="1">
      <c r="A6" s="25" t="s">
        <v>38</v>
      </c>
      <c r="B6" s="52">
        <v>0</v>
      </c>
      <c r="C6" s="1"/>
      <c r="D6" s="53" t="s">
        <v>59</v>
      </c>
      <c r="E6" s="56" t="s">
        <v>66</v>
      </c>
      <c r="F6" s="55" t="s">
        <v>66</v>
      </c>
    </row>
    <row r="7" spans="1:8" s="20" customFormat="1" ht="20" customHeight="1">
      <c r="A7" s="25" t="s">
        <v>39</v>
      </c>
      <c r="B7" s="86">
        <v>0</v>
      </c>
      <c r="C7" s="1"/>
      <c r="D7" s="53" t="s">
        <v>60</v>
      </c>
      <c r="E7" s="56" t="s">
        <v>66</v>
      </c>
      <c r="F7" s="55" t="s">
        <v>66</v>
      </c>
    </row>
    <row r="8" spans="1:8" s="20" customFormat="1" ht="20" customHeight="1" thickBot="1">
      <c r="A8" s="25" t="s">
        <v>142</v>
      </c>
      <c r="B8" s="123">
        <f>SUM(B5:B7)</f>
        <v>390684</v>
      </c>
      <c r="C8" s="1"/>
      <c r="D8" s="53" t="s">
        <v>61</v>
      </c>
      <c r="E8" s="56" t="s">
        <v>66</v>
      </c>
      <c r="F8" s="55" t="s">
        <v>66</v>
      </c>
    </row>
    <row r="9" spans="1:8" s="20" customFormat="1" ht="20" customHeight="1" thickTop="1">
      <c r="A9" s="25" t="s">
        <v>41</v>
      </c>
      <c r="B9" s="52"/>
      <c r="C9" s="1"/>
      <c r="D9" s="53" t="s">
        <v>62</v>
      </c>
      <c r="E9" s="56" t="s">
        <v>66</v>
      </c>
      <c r="F9" s="55" t="s">
        <v>66</v>
      </c>
    </row>
    <row r="10" spans="1:8" s="20" customFormat="1" ht="20" customHeight="1">
      <c r="A10" s="25" t="s">
        <v>37</v>
      </c>
      <c r="B10" s="52">
        <f>-'C3Work'!H6+-'C3Work'!H8</f>
        <v>-157700</v>
      </c>
      <c r="C10" s="1"/>
      <c r="D10" s="53" t="s">
        <v>63</v>
      </c>
      <c r="E10" s="57">
        <f>-'C3Work'!H8</f>
        <v>-80000</v>
      </c>
      <c r="F10" s="59">
        <f>E10/Case3!$D$20*100</f>
        <v>-6.6143034311699047</v>
      </c>
    </row>
    <row r="11" spans="1:8" s="20" customFormat="1" ht="20" customHeight="1">
      <c r="A11" s="25" t="s">
        <v>38</v>
      </c>
      <c r="B11" s="52">
        <v>0</v>
      </c>
      <c r="C11" s="1"/>
      <c r="D11" s="53" t="s">
        <v>64</v>
      </c>
      <c r="E11" s="57"/>
      <c r="F11" s="59"/>
    </row>
    <row r="12" spans="1:8" s="20" customFormat="1" ht="20" customHeight="1">
      <c r="A12" s="122" t="s">
        <v>39</v>
      </c>
      <c r="B12" s="86">
        <v>0</v>
      </c>
      <c r="C12" s="1"/>
      <c r="D12" s="20" t="s">
        <v>111</v>
      </c>
      <c r="E12" s="5">
        <f>'C3Work'!B29</f>
        <v>50400</v>
      </c>
      <c r="F12" s="59">
        <f>E12/Case3!$D$20*100</f>
        <v>4.1670111616370402</v>
      </c>
    </row>
    <row r="13" spans="1:8" s="20" customFormat="1" ht="20" customHeight="1" thickBot="1">
      <c r="A13" s="25" t="s">
        <v>143</v>
      </c>
      <c r="B13" s="123">
        <f>SUM(B10:B12)</f>
        <v>-157700</v>
      </c>
      <c r="C13" s="1"/>
      <c r="D13" s="20" t="s">
        <v>112</v>
      </c>
      <c r="E13" s="5">
        <f>'C3Work'!B30+'C3Work'!B31</f>
        <v>8589</v>
      </c>
      <c r="F13" s="59">
        <f>E13/Case3!$D$20*100</f>
        <v>0.71012815212897895</v>
      </c>
    </row>
    <row r="14" spans="1:8" s="20" customFormat="1" ht="20" customHeight="1" thickTop="1" thickBot="1">
      <c r="A14" s="25" t="s">
        <v>29</v>
      </c>
      <c r="B14" s="3"/>
      <c r="C14" s="1"/>
      <c r="D14" s="20" t="s">
        <v>29</v>
      </c>
      <c r="E14" s="10">
        <f>SUM(E4:E13)</f>
        <v>232984</v>
      </c>
      <c r="F14" s="112">
        <f>E14/Case3!$D$20*100</f>
        <v>19.262835882596114</v>
      </c>
      <c r="G14" s="90"/>
      <c r="H14" s="90"/>
    </row>
    <row r="15" spans="1:8" ht="20" customHeight="1" thickTop="1">
      <c r="A15" s="25" t="s">
        <v>37</v>
      </c>
      <c r="B15" s="125">
        <f>B5+B10</f>
        <v>232984</v>
      </c>
      <c r="C15" s="1"/>
      <c r="G15" s="90"/>
      <c r="H15" s="90"/>
    </row>
    <row r="16" spans="1:8" ht="20.5" customHeight="1">
      <c r="A16" s="25" t="s">
        <v>38</v>
      </c>
      <c r="B16" s="52">
        <v>0</v>
      </c>
    </row>
    <row r="17" spans="1:6" ht="20" customHeight="1">
      <c r="A17" s="122" t="s">
        <v>39</v>
      </c>
      <c r="B17" s="86">
        <v>0</v>
      </c>
      <c r="D17" s="113"/>
      <c r="E17" s="113"/>
      <c r="F17" s="113"/>
    </row>
    <row r="18" spans="1:6" ht="20" customHeight="1" thickBot="1">
      <c r="A18" s="25" t="s">
        <v>144</v>
      </c>
      <c r="B18" s="126">
        <f>SUM(B15:B17)</f>
        <v>232984</v>
      </c>
      <c r="D18" s="113"/>
      <c r="E18" s="113"/>
      <c r="F18" s="113"/>
    </row>
    <row r="19" spans="1:6" ht="20" customHeight="1" thickTop="1">
      <c r="A19" s="1"/>
      <c r="B19" s="1"/>
      <c r="D19" s="113"/>
      <c r="E19" s="113"/>
      <c r="F19" s="113"/>
    </row>
    <row r="20" spans="1:6" ht="19" customHeight="1">
      <c r="A20" s="111" t="s">
        <v>146</v>
      </c>
      <c r="B20" s="108" t="s">
        <v>99</v>
      </c>
    </row>
    <row r="21" spans="1:6" ht="19.5" customHeight="1">
      <c r="A21" s="35" t="s">
        <v>28</v>
      </c>
      <c r="B21" s="63">
        <f>Case3!D20</f>
        <v>1209500</v>
      </c>
    </row>
    <row r="22" spans="1:6" ht="19.5" customHeight="1">
      <c r="A22" t="s">
        <v>29</v>
      </c>
      <c r="B22" s="46">
        <f>-B18</f>
        <v>-232984</v>
      </c>
    </row>
    <row r="23" spans="1:6" ht="19.5" customHeight="1" thickBot="1">
      <c r="A23" t="s">
        <v>30</v>
      </c>
      <c r="B23" s="64">
        <f>SUM(B21:B22)</f>
        <v>976516</v>
      </c>
    </row>
    <row r="24" spans="1:6" ht="16" thickTop="1"/>
    <row r="31" spans="1:6">
      <c r="A31" s="1"/>
      <c r="B31" s="1"/>
      <c r="C31" s="7"/>
    </row>
    <row r="32" spans="1:6">
      <c r="C32" s="7"/>
    </row>
  </sheetData>
  <mergeCells count="1">
    <mergeCell ref="A1:F1"/>
  </mergeCells>
  <pageMargins left="0.7" right="0.7" top="0.75" bottom="0.75" header="0.3" footer="0.3"/>
  <pageSetup scale="94"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6D50A-E7C9-4F3A-A0FB-2F514B14C5F3}">
  <dimension ref="A1"/>
  <sheetViews>
    <sheetView workbookViewId="0"/>
  </sheetViews>
  <sheetFormatPr defaultRowHeight="15.5"/>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election sqref="A1:A5"/>
    </sheetView>
  </sheetViews>
  <sheetFormatPr defaultColWidth="11" defaultRowHeight="15.5"/>
  <sheetData>
    <row r="1" spans="1:1">
      <c r="A1" t="s">
        <v>0</v>
      </c>
    </row>
    <row r="2" spans="1:1">
      <c r="A2" t="s">
        <v>1</v>
      </c>
    </row>
    <row r="3" spans="1:1">
      <c r="A3" t="s">
        <v>2</v>
      </c>
    </row>
    <row r="4" spans="1:1">
      <c r="A4" t="s">
        <v>3</v>
      </c>
    </row>
    <row r="5" spans="1:1">
      <c r="A5" t="s">
        <v>4</v>
      </c>
    </row>
  </sheetData>
  <pageMargins left="0.75" right="0.75" top="1" bottom="1" header="0.5" footer="0.5"/>
  <pageSetup orientation="portrait"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7"/>
  <sheetViews>
    <sheetView workbookViewId="0">
      <pane ySplit="3" topLeftCell="A4" activePane="bottomLeft" state="frozen"/>
      <selection pane="bottomLeft" sqref="A1:C1"/>
    </sheetView>
  </sheetViews>
  <sheetFormatPr defaultColWidth="11" defaultRowHeight="15.5"/>
  <cols>
    <col min="1" max="1" width="55.25" customWidth="1"/>
    <col min="2" max="3" width="18.6640625" style="3" customWidth="1"/>
    <col min="4" max="4" width="2.6640625" customWidth="1"/>
    <col min="5" max="5" width="18.4140625" customWidth="1"/>
    <col min="6" max="6" width="11.33203125" bestFit="1" customWidth="1"/>
    <col min="7" max="7" width="18.83203125" customWidth="1"/>
  </cols>
  <sheetData>
    <row r="1" spans="1:8">
      <c r="A1" s="140" t="s">
        <v>43</v>
      </c>
      <c r="B1" s="140"/>
      <c r="C1" s="140"/>
    </row>
    <row r="2" spans="1:8">
      <c r="A2" s="1"/>
      <c r="B2" s="1"/>
      <c r="C2" s="1"/>
      <c r="E2" s="141" t="s">
        <v>33</v>
      </c>
      <c r="F2" s="141"/>
      <c r="G2" s="141"/>
      <c r="H2" s="141"/>
    </row>
    <row r="3" spans="1:8">
      <c r="A3" s="1"/>
      <c r="B3" s="1"/>
      <c r="C3" s="1"/>
      <c r="E3" s="141" t="s">
        <v>23</v>
      </c>
      <c r="F3" s="141"/>
      <c r="G3" s="141" t="s">
        <v>24</v>
      </c>
      <c r="H3" s="141"/>
    </row>
    <row r="4" spans="1:8">
      <c r="A4" s="31" t="s">
        <v>115</v>
      </c>
    </row>
    <row r="5" spans="1:8">
      <c r="A5" s="1"/>
      <c r="B5" s="29" t="s">
        <v>5</v>
      </c>
      <c r="C5" s="29" t="s">
        <v>55</v>
      </c>
    </row>
    <row r="6" spans="1:8">
      <c r="A6" t="s">
        <v>18</v>
      </c>
      <c r="B6" s="4">
        <f>0.5*Case1!D9</f>
        <v>35000</v>
      </c>
      <c r="C6" s="3" t="s">
        <v>4</v>
      </c>
    </row>
    <row r="7" spans="1:8">
      <c r="A7" t="s">
        <v>49</v>
      </c>
      <c r="B7" s="4">
        <v>8000</v>
      </c>
      <c r="C7" s="3" t="s">
        <v>4</v>
      </c>
      <c r="D7" s="23"/>
    </row>
    <row r="8" spans="1:8" ht="15.75" customHeight="1">
      <c r="A8" t="s">
        <v>19</v>
      </c>
      <c r="B8" s="4">
        <v>200000</v>
      </c>
      <c r="C8" s="3" t="s">
        <v>0</v>
      </c>
      <c r="D8" t="s">
        <v>22</v>
      </c>
      <c r="E8" s="11" t="s">
        <v>46</v>
      </c>
      <c r="F8" s="34">
        <f>B8*0.21</f>
        <v>42000</v>
      </c>
      <c r="G8" s="11" t="s">
        <v>40</v>
      </c>
      <c r="H8" s="34">
        <f>F8</f>
        <v>42000</v>
      </c>
    </row>
    <row r="9" spans="1:8">
      <c r="A9" t="s">
        <v>10</v>
      </c>
      <c r="B9" s="4">
        <f>Case1!D16-19000</f>
        <v>37000</v>
      </c>
      <c r="C9" s="3" t="s">
        <v>0</v>
      </c>
      <c r="E9" s="11" t="s">
        <v>46</v>
      </c>
      <c r="F9" s="34">
        <f>B9*0.21</f>
        <v>7770</v>
      </c>
      <c r="G9" s="11" t="s">
        <v>40</v>
      </c>
      <c r="H9" s="34">
        <f>F9</f>
        <v>7770</v>
      </c>
    </row>
    <row r="10" spans="1:8">
      <c r="A10" t="s">
        <v>78</v>
      </c>
      <c r="B10" s="4">
        <f>2100000-Case1!D17</f>
        <v>1200000</v>
      </c>
      <c r="C10" s="3" t="s">
        <v>2</v>
      </c>
      <c r="E10" s="11" t="s">
        <v>40</v>
      </c>
      <c r="F10" s="34">
        <f>B10*0.21</f>
        <v>252000</v>
      </c>
      <c r="G10" s="11" t="s">
        <v>45</v>
      </c>
      <c r="H10" s="34">
        <f>F10</f>
        <v>252000</v>
      </c>
    </row>
    <row r="11" spans="1:8">
      <c r="A11" t="s">
        <v>42</v>
      </c>
      <c r="B11" s="4">
        <f>Case1!D18</f>
        <v>25000</v>
      </c>
      <c r="C11" s="3" t="s">
        <v>4</v>
      </c>
    </row>
    <row r="12" spans="1:8" ht="10.5" customHeight="1">
      <c r="B12" s="4"/>
    </row>
    <row r="13" spans="1:8">
      <c r="A13" t="s">
        <v>135</v>
      </c>
      <c r="B13" s="4" t="s">
        <v>4</v>
      </c>
      <c r="C13" s="3" t="s">
        <v>4</v>
      </c>
      <c r="E13" s="11" t="s">
        <v>40</v>
      </c>
      <c r="F13" s="34">
        <f>F8*0.5</f>
        <v>21000</v>
      </c>
      <c r="G13" s="11" t="s">
        <v>47</v>
      </c>
      <c r="H13" s="34">
        <f>F13</f>
        <v>21000</v>
      </c>
    </row>
    <row r="14" spans="1:8">
      <c r="B14" s="4"/>
      <c r="F14" s="32"/>
      <c r="H14" s="32"/>
    </row>
    <row r="15" spans="1:8" ht="45" customHeight="1">
      <c r="A15" s="146" t="s">
        <v>116</v>
      </c>
      <c r="B15" s="146"/>
      <c r="C15" s="146"/>
    </row>
    <row r="16" spans="1:8">
      <c r="B16" s="4"/>
    </row>
    <row r="17" spans="1:8">
      <c r="A17" s="30" t="s">
        <v>50</v>
      </c>
      <c r="B17" s="1"/>
      <c r="C17" s="1"/>
      <c r="E17" s="29"/>
      <c r="F17" s="29"/>
      <c r="G17" s="29"/>
      <c r="H17" s="29"/>
    </row>
    <row r="18" spans="1:8">
      <c r="A18" s="25" t="str">
        <f>Case1!B23</f>
        <v>Earnings before income taxes</v>
      </c>
      <c r="B18" s="33">
        <f>Case1!D23</f>
        <v>1185500</v>
      </c>
      <c r="C18" s="1"/>
      <c r="E18" s="29"/>
      <c r="F18" s="29"/>
      <c r="G18" s="29"/>
      <c r="H18" s="29"/>
    </row>
    <row r="19" spans="1:8">
      <c r="A19" s="25" t="str">
        <f t="shared" ref="A19:A24" si="0">A6</f>
        <v>DRD</v>
      </c>
      <c r="B19" s="43">
        <f>-'C1Work'!B6</f>
        <v>-35000</v>
      </c>
      <c r="C19" s="1"/>
      <c r="E19" s="29"/>
      <c r="F19" s="29"/>
      <c r="G19" s="29"/>
      <c r="H19" s="29"/>
    </row>
    <row r="20" spans="1:8">
      <c r="A20" s="25" t="str">
        <f t="shared" si="0"/>
        <v>Tax-exempt investment income</v>
      </c>
      <c r="B20" s="43">
        <f>-B7</f>
        <v>-8000</v>
      </c>
    </row>
    <row r="21" spans="1:8">
      <c r="A21" s="25" t="str">
        <f t="shared" si="0"/>
        <v>Net capital loss</v>
      </c>
      <c r="B21" s="43">
        <f>B8</f>
        <v>200000</v>
      </c>
    </row>
    <row r="22" spans="1:8">
      <c r="A22" s="25" t="str">
        <f t="shared" si="0"/>
        <v>Bad debt expense</v>
      </c>
      <c r="B22" s="43">
        <f>B9</f>
        <v>37000</v>
      </c>
    </row>
    <row r="23" spans="1:8">
      <c r="A23" s="25" t="str">
        <f t="shared" si="0"/>
        <v>Depreciation and other cost recovery</v>
      </c>
      <c r="B23" s="43">
        <f>-B10</f>
        <v>-1200000</v>
      </c>
    </row>
    <row r="24" spans="1:8">
      <c r="A24" s="25" t="str">
        <f t="shared" si="0"/>
        <v>Nondeductible expenses</v>
      </c>
      <c r="B24" s="45">
        <f>B11</f>
        <v>25000</v>
      </c>
    </row>
    <row r="25" spans="1:8" ht="16" thickBot="1">
      <c r="A25" s="25" t="s">
        <v>51</v>
      </c>
      <c r="B25" s="49">
        <f>SUM(B18:B24)</f>
        <v>204500</v>
      </c>
    </row>
    <row r="26" spans="1:8" ht="16" thickTop="1">
      <c r="B26" s="44"/>
    </row>
    <row r="27" spans="1:8">
      <c r="A27" s="31" t="s">
        <v>52</v>
      </c>
      <c r="B27" s="44"/>
    </row>
    <row r="28" spans="1:8">
      <c r="A28" t="s">
        <v>53</v>
      </c>
      <c r="B28" s="47">
        <f>B25*0.21</f>
        <v>42945</v>
      </c>
    </row>
    <row r="29" spans="1:8">
      <c r="A29" t="s">
        <v>6</v>
      </c>
      <c r="B29" s="46">
        <v>-5000</v>
      </c>
    </row>
    <row r="30" spans="1:8" ht="16" thickBot="1">
      <c r="A30" t="s">
        <v>54</v>
      </c>
      <c r="B30" s="48">
        <f>SUM(B28:B29)</f>
        <v>37945</v>
      </c>
      <c r="E30" s="11" t="s">
        <v>36</v>
      </c>
      <c r="F30" s="65">
        <f>B30</f>
        <v>37945</v>
      </c>
      <c r="G30" s="11" t="s">
        <v>44</v>
      </c>
      <c r="H30" s="65">
        <f>F30</f>
        <v>37945</v>
      </c>
    </row>
    <row r="31" spans="1:8" ht="16" thickTop="1">
      <c r="B31" s="6"/>
    </row>
    <row r="33" spans="1:3">
      <c r="A33" s="144" t="s">
        <v>121</v>
      </c>
      <c r="B33" s="145"/>
    </row>
    <row r="34" spans="1:3">
      <c r="B34" s="36" t="s">
        <v>7</v>
      </c>
      <c r="C34" s="36" t="s">
        <v>8</v>
      </c>
    </row>
    <row r="35" spans="1:3">
      <c r="A35" t="s">
        <v>56</v>
      </c>
      <c r="B35" s="37">
        <f>Case1!D23*0.21</f>
        <v>248955</v>
      </c>
      <c r="C35" s="7">
        <v>21</v>
      </c>
    </row>
    <row r="36" spans="1:3">
      <c r="A36" t="str">
        <f>'C1Work'!A6</f>
        <v>DRD</v>
      </c>
      <c r="B36" s="5">
        <f>-'C1Work'!B6*0.21</f>
        <v>-7350</v>
      </c>
      <c r="C36" s="127">
        <f>B36/Case1!$D$23*100</f>
        <v>-0.61999156474061579</v>
      </c>
    </row>
    <row r="37" spans="1:3">
      <c r="A37" t="s">
        <v>67</v>
      </c>
      <c r="B37" s="5">
        <f>-'C1Work'!B7*0.21</f>
        <v>-1680</v>
      </c>
      <c r="C37" s="127">
        <f>B37/Case1!$D$23*100</f>
        <v>-0.1417123576549979</v>
      </c>
    </row>
    <row r="38" spans="1:3">
      <c r="A38" t="str">
        <f>'C1Work'!A11</f>
        <v>Nondeductible expenses</v>
      </c>
      <c r="B38" s="5">
        <f>+'C1Work'!B11*0.21</f>
        <v>5250</v>
      </c>
      <c r="C38" s="127">
        <f>B38/Case1!$D$23*100</f>
        <v>0.44285111767186847</v>
      </c>
    </row>
    <row r="39" spans="1:3">
      <c r="A39" s="20" t="s">
        <v>6</v>
      </c>
      <c r="B39" s="5">
        <f>B29</f>
        <v>-5000</v>
      </c>
      <c r="C39" s="127">
        <f>B39/Case1!$D$23*100</f>
        <v>-0.42176296921130324</v>
      </c>
    </row>
    <row r="40" spans="1:3">
      <c r="A40" t="s">
        <v>48</v>
      </c>
      <c r="B40" s="40">
        <f>F13</f>
        <v>21000</v>
      </c>
      <c r="C40" s="128">
        <f>B40/Case1!$D$23*100</f>
        <v>1.7714044706874739</v>
      </c>
    </row>
    <row r="41" spans="1:3" ht="16" thickBot="1">
      <c r="A41" t="s">
        <v>57</v>
      </c>
      <c r="B41" s="10">
        <f>SUM(B35:B40)</f>
        <v>261175</v>
      </c>
      <c r="C41" s="129">
        <f>B41/Case1!$D$23*100</f>
        <v>22.030788696752428</v>
      </c>
    </row>
    <row r="42" spans="1:3" ht="16" thickTop="1"/>
    <row r="43" spans="1:3">
      <c r="A43" t="s">
        <v>118</v>
      </c>
    </row>
    <row r="44" spans="1:3">
      <c r="A44" s="142" t="s">
        <v>117</v>
      </c>
      <c r="B44" s="142"/>
      <c r="C44" s="142"/>
    </row>
    <row r="45" spans="1:3">
      <c r="A45" s="142"/>
      <c r="B45" s="142"/>
      <c r="C45" s="142"/>
    </row>
    <row r="46" spans="1:3">
      <c r="A46" s="142"/>
      <c r="B46" s="142"/>
      <c r="C46" s="142"/>
    </row>
    <row r="47" spans="1:3" ht="61.5" customHeight="1">
      <c r="A47" s="143" t="s">
        <v>130</v>
      </c>
      <c r="B47" s="143"/>
      <c r="C47" s="143"/>
    </row>
  </sheetData>
  <sortState xmlns:xlrd2="http://schemas.microsoft.com/office/spreadsheetml/2017/richdata2" ref="A11:C11">
    <sortCondition descending="1" ref="B11"/>
  </sortState>
  <mergeCells count="8">
    <mergeCell ref="A47:C47"/>
    <mergeCell ref="A33:B33"/>
    <mergeCell ref="A15:C15"/>
    <mergeCell ref="A1:C1"/>
    <mergeCell ref="E3:F3"/>
    <mergeCell ref="G3:H3"/>
    <mergeCell ref="E2:H2"/>
    <mergeCell ref="A44:C46"/>
  </mergeCells>
  <phoneticPr fontId="7" type="noConversion"/>
  <dataValidations count="1">
    <dataValidation type="list" allowBlank="1" showInputMessage="1" showErrorMessage="1" sqref="C6:C14" xr:uid="{00000000-0002-0000-0000-000000000000}">
      <formula1>Effect</formula1>
    </dataValidation>
  </dataValidations>
  <pageMargins left="0.5" right="0.5" top="0.75" bottom="0.75" header="0.3" footer="0.3"/>
  <pageSetup scale="62" orientation="landscape"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37"/>
  <sheetViews>
    <sheetView workbookViewId="0">
      <selection sqref="A1:F1"/>
    </sheetView>
  </sheetViews>
  <sheetFormatPr defaultColWidth="11" defaultRowHeight="15.5"/>
  <cols>
    <col min="1" max="1" width="30.5" customWidth="1"/>
    <col min="2" max="2" width="11.58203125" style="3" customWidth="1"/>
    <col min="3" max="3" width="3.25" style="3" customWidth="1"/>
    <col min="4" max="4" width="57.83203125" customWidth="1"/>
    <col min="5" max="5" width="9.75" customWidth="1"/>
    <col min="6" max="6" width="6.9140625" customWidth="1"/>
    <col min="7" max="7" width="1.5" customWidth="1"/>
  </cols>
  <sheetData>
    <row r="1" spans="1:8" ht="17.5" customHeight="1">
      <c r="A1" s="140" t="s">
        <v>21</v>
      </c>
      <c r="B1" s="140"/>
      <c r="C1" s="140"/>
      <c r="D1" s="140"/>
      <c r="E1" s="140"/>
      <c r="F1" s="140"/>
    </row>
    <row r="2" spans="1:8">
      <c r="A2" s="1"/>
      <c r="B2" s="1"/>
      <c r="C2" s="1"/>
    </row>
    <row r="3" spans="1:8" ht="20" customHeight="1">
      <c r="A3" s="26" t="s">
        <v>35</v>
      </c>
      <c r="B3" s="92" t="s">
        <v>99</v>
      </c>
      <c r="C3" s="27"/>
      <c r="D3" s="50" t="s">
        <v>65</v>
      </c>
      <c r="E3" s="91" t="s">
        <v>7</v>
      </c>
      <c r="F3" s="91" t="s">
        <v>8</v>
      </c>
    </row>
    <row r="4" spans="1:8" ht="20" customHeight="1">
      <c r="A4" s="25" t="s">
        <v>141</v>
      </c>
      <c r="B4" s="28"/>
      <c r="C4" s="1"/>
      <c r="D4" s="25" t="s">
        <v>56</v>
      </c>
      <c r="E4" s="54">
        <f>Case1!D23*0.21</f>
        <v>248955</v>
      </c>
      <c r="F4" s="130">
        <v>21</v>
      </c>
    </row>
    <row r="5" spans="1:8" s="20" customFormat="1" ht="20" customHeight="1">
      <c r="A5" s="25" t="s">
        <v>37</v>
      </c>
      <c r="B5" s="51">
        <f>'C1Work'!F30</f>
        <v>37945</v>
      </c>
      <c r="C5" s="1"/>
      <c r="D5" s="53" t="s">
        <v>58</v>
      </c>
      <c r="E5" s="56" t="s">
        <v>66</v>
      </c>
      <c r="F5" s="55" t="s">
        <v>66</v>
      </c>
    </row>
    <row r="6" spans="1:8" s="20" customFormat="1" ht="20" customHeight="1">
      <c r="A6" s="25" t="s">
        <v>38</v>
      </c>
      <c r="B6" s="3" t="s">
        <v>66</v>
      </c>
      <c r="C6" s="1"/>
      <c r="D6" s="53" t="s">
        <v>59</v>
      </c>
      <c r="E6" s="56" t="s">
        <v>66</v>
      </c>
      <c r="F6" s="55" t="s">
        <v>66</v>
      </c>
    </row>
    <row r="7" spans="1:8" s="20" customFormat="1" ht="20" customHeight="1">
      <c r="A7" s="25" t="s">
        <v>39</v>
      </c>
      <c r="B7" s="3" t="s">
        <v>66</v>
      </c>
      <c r="C7" s="1"/>
      <c r="D7" s="53" t="s">
        <v>60</v>
      </c>
      <c r="E7" s="56" t="s">
        <v>66</v>
      </c>
      <c r="F7" s="55" t="s">
        <v>66</v>
      </c>
    </row>
    <row r="8" spans="1:8" s="20" customFormat="1" ht="20" customHeight="1" thickBot="1">
      <c r="A8" s="25" t="s">
        <v>142</v>
      </c>
      <c r="B8" s="123">
        <f>SUM(B5:B7)</f>
        <v>37945</v>
      </c>
      <c r="C8" s="1"/>
      <c r="D8" s="53" t="s">
        <v>61</v>
      </c>
      <c r="E8" s="56" t="s">
        <v>66</v>
      </c>
      <c r="F8" s="55" t="s">
        <v>66</v>
      </c>
    </row>
    <row r="9" spans="1:8" s="20" customFormat="1" ht="20" customHeight="1" thickTop="1">
      <c r="A9" s="25" t="s">
        <v>41</v>
      </c>
      <c r="B9" s="121"/>
      <c r="C9" s="1"/>
      <c r="D9" s="53" t="s">
        <v>62</v>
      </c>
      <c r="E9" s="57">
        <f>'C1Work'!B39</f>
        <v>-5000</v>
      </c>
      <c r="F9" s="132">
        <f>E9/Case1!D23*100</f>
        <v>-0.42176296921130324</v>
      </c>
    </row>
    <row r="10" spans="1:8" s="20" customFormat="1" ht="20" customHeight="1">
      <c r="A10" s="25" t="s">
        <v>37</v>
      </c>
      <c r="B10" s="121">
        <f>'C1Work'!F10+'C1Work'!F13-'C1Work'!H8-'C1Work'!H9</f>
        <v>223230</v>
      </c>
      <c r="C10" s="1"/>
      <c r="D10" s="53" t="s">
        <v>63</v>
      </c>
      <c r="E10" s="57">
        <f>'C1Work'!B40</f>
        <v>21000</v>
      </c>
      <c r="F10" s="130">
        <f>E10/Case1!D23*100</f>
        <v>1.7714044706874739</v>
      </c>
    </row>
    <row r="11" spans="1:8" s="20" customFormat="1" ht="20" customHeight="1">
      <c r="A11" s="25" t="s">
        <v>38</v>
      </c>
      <c r="B11" s="3" t="s">
        <v>66</v>
      </c>
      <c r="C11" s="1"/>
      <c r="D11" s="53" t="s">
        <v>64</v>
      </c>
      <c r="E11" s="61">
        <f>'C1Work'!B38+'C1Work'!B37+'C1Work'!B36</f>
        <v>-3780</v>
      </c>
      <c r="F11" s="133">
        <f>E11/Case1!D23*100</f>
        <v>-0.31885280472374528</v>
      </c>
    </row>
    <row r="12" spans="1:8" s="20" customFormat="1" ht="20" customHeight="1" thickBot="1">
      <c r="A12" s="122" t="s">
        <v>39</v>
      </c>
      <c r="B12" s="3" t="s">
        <v>66</v>
      </c>
      <c r="C12" s="1"/>
      <c r="D12" s="20" t="s">
        <v>29</v>
      </c>
      <c r="E12" s="10">
        <f>SUM(E4:E11)</f>
        <v>261175</v>
      </c>
      <c r="F12" s="131">
        <f>E12/Case1!D23*100</f>
        <v>22.030788696752428</v>
      </c>
    </row>
    <row r="13" spans="1:8" s="20" customFormat="1" ht="20" customHeight="1" thickTop="1" thickBot="1">
      <c r="A13" s="25" t="s">
        <v>143</v>
      </c>
      <c r="B13" s="123">
        <f>SUM(B10:B12)</f>
        <v>223230</v>
      </c>
      <c r="C13" s="1"/>
    </row>
    <row r="14" spans="1:8" s="20" customFormat="1" ht="20" customHeight="1" thickTop="1">
      <c r="A14" s="25" t="s">
        <v>29</v>
      </c>
      <c r="B14" s="120"/>
      <c r="C14" s="1"/>
      <c r="G14" s="90"/>
      <c r="H14" s="90"/>
    </row>
    <row r="15" spans="1:8" ht="20" customHeight="1">
      <c r="A15" s="25" t="s">
        <v>37</v>
      </c>
      <c r="B15" s="120">
        <f>B5+B10</f>
        <v>261175</v>
      </c>
      <c r="C15" s="1"/>
      <c r="G15" s="90"/>
      <c r="H15" s="90"/>
    </row>
    <row r="16" spans="1:8" ht="20" customHeight="1">
      <c r="A16" s="25" t="s">
        <v>38</v>
      </c>
      <c r="B16" s="3" t="s">
        <v>66</v>
      </c>
    </row>
    <row r="17" spans="1:3" ht="20" customHeight="1">
      <c r="A17" s="122" t="s">
        <v>39</v>
      </c>
      <c r="B17" s="3" t="s">
        <v>66</v>
      </c>
    </row>
    <row r="18" spans="1:3" ht="20" customHeight="1" thickBot="1">
      <c r="A18" s="25" t="s">
        <v>144</v>
      </c>
      <c r="B18" s="88">
        <f>SUM(B15:B17)</f>
        <v>261175</v>
      </c>
    </row>
    <row r="19" spans="1:3" ht="20" customHeight="1" thickTop="1">
      <c r="A19" s="25"/>
      <c r="B19" s="120"/>
    </row>
    <row r="20" spans="1:3" ht="20" customHeight="1">
      <c r="A20" s="69" t="s">
        <v>146</v>
      </c>
      <c r="B20" s="92" t="s">
        <v>99</v>
      </c>
    </row>
    <row r="21" spans="1:3" ht="20" customHeight="1">
      <c r="A21" s="35" t="s">
        <v>28</v>
      </c>
      <c r="B21" s="63">
        <f>Case1!D23</f>
        <v>1185500</v>
      </c>
    </row>
    <row r="22" spans="1:3" ht="20" customHeight="1">
      <c r="A22" t="s">
        <v>29</v>
      </c>
      <c r="B22" s="46">
        <f>-B18</f>
        <v>-261175</v>
      </c>
    </row>
    <row r="23" spans="1:3" ht="20" customHeight="1" thickBot="1">
      <c r="A23" t="s">
        <v>30</v>
      </c>
      <c r="B23" s="64">
        <f>SUM(B21:B22)</f>
        <v>924325</v>
      </c>
    </row>
    <row r="24" spans="1:3" ht="20" customHeight="1" thickTop="1"/>
    <row r="26" spans="1:3">
      <c r="A26" s="1"/>
      <c r="B26" s="1"/>
      <c r="C26" s="1"/>
    </row>
    <row r="36" spans="2:3">
      <c r="B36" s="5"/>
      <c r="C36" s="7"/>
    </row>
    <row r="37" spans="2:3">
      <c r="B37" s="9"/>
      <c r="C37" s="7"/>
    </row>
  </sheetData>
  <mergeCells count="1">
    <mergeCell ref="A1:F1"/>
  </mergeCells>
  <phoneticPr fontId="7" type="noConversion"/>
  <pageMargins left="0.5" right="0.5" top="0.75" bottom="0.75" header="0.3" footer="0.3"/>
  <pageSetup scale="98" orientation="landscape"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741D2-9447-4F3E-BE61-8AC75B91652A}">
  <dimension ref="A1:I27"/>
  <sheetViews>
    <sheetView topLeftCell="A24" workbookViewId="0">
      <selection activeCell="A27" sqref="A27:G27"/>
    </sheetView>
  </sheetViews>
  <sheetFormatPr defaultRowHeight="15.5"/>
  <cols>
    <col min="1" max="1" width="8.75" customWidth="1"/>
    <col min="2" max="2" width="3.83203125" customWidth="1"/>
    <col min="3" max="3" width="25.1640625" customWidth="1"/>
    <col min="4" max="4" width="11.4140625" bestFit="1" customWidth="1"/>
    <col min="5" max="6" width="11.4140625" customWidth="1"/>
    <col min="7" max="7" width="9.75" customWidth="1"/>
    <col min="8" max="8" width="12.4140625" bestFit="1" customWidth="1"/>
    <col min="9" max="9" width="11.33203125" bestFit="1" customWidth="1"/>
  </cols>
  <sheetData>
    <row r="1" spans="1:9">
      <c r="A1" s="137" t="s">
        <v>70</v>
      </c>
      <c r="B1" s="137"/>
      <c r="C1" s="137"/>
      <c r="D1" s="137"/>
      <c r="E1" s="137"/>
      <c r="F1" s="19"/>
    </row>
    <row r="2" spans="1:9" ht="94" customHeight="1">
      <c r="A2" s="134" t="s">
        <v>137</v>
      </c>
      <c r="B2" s="134"/>
      <c r="C2" s="134"/>
      <c r="D2" s="134"/>
      <c r="E2" s="134"/>
      <c r="F2" s="134"/>
      <c r="G2" s="134"/>
    </row>
    <row r="3" spans="1:9">
      <c r="A3" s="138"/>
      <c r="B3" s="138"/>
      <c r="C3" s="138"/>
      <c r="D3" s="138"/>
      <c r="E3" s="138"/>
      <c r="F3" s="3"/>
    </row>
    <row r="4" spans="1:9">
      <c r="B4" s="147" t="s">
        <v>71</v>
      </c>
      <c r="C4" s="147"/>
      <c r="D4" s="73" t="s">
        <v>72</v>
      </c>
      <c r="E4" s="73" t="s">
        <v>73</v>
      </c>
      <c r="F4" s="73" t="s">
        <v>122</v>
      </c>
    </row>
    <row r="5" spans="1:9">
      <c r="B5" s="15" t="s">
        <v>26</v>
      </c>
      <c r="D5" s="13"/>
      <c r="H5" s="70"/>
    </row>
    <row r="6" spans="1:9">
      <c r="C6" s="15" t="s">
        <v>9</v>
      </c>
      <c r="D6" s="68">
        <v>2200500</v>
      </c>
      <c r="E6" s="71">
        <v>3200000</v>
      </c>
      <c r="F6" s="71">
        <v>3456000</v>
      </c>
      <c r="H6" s="8"/>
    </row>
    <row r="7" spans="1:9">
      <c r="C7" s="15" t="s">
        <v>13</v>
      </c>
      <c r="D7" s="77">
        <v>1300800</v>
      </c>
      <c r="E7" s="80">
        <v>2200200</v>
      </c>
      <c r="F7" s="80">
        <v>2250000</v>
      </c>
      <c r="H7" s="8"/>
    </row>
    <row r="8" spans="1:9">
      <c r="C8" s="15" t="s">
        <v>16</v>
      </c>
      <c r="D8" s="68">
        <f>D6-D7</f>
        <v>899700</v>
      </c>
      <c r="E8" s="68">
        <f>E6-E7</f>
        <v>999800</v>
      </c>
      <c r="F8" s="68">
        <f>F6-F7</f>
        <v>1206000</v>
      </c>
      <c r="H8" s="8"/>
    </row>
    <row r="9" spans="1:9">
      <c r="C9" s="15" t="s">
        <v>94</v>
      </c>
      <c r="D9" s="78">
        <v>2900</v>
      </c>
      <c r="E9" s="94">
        <v>2100</v>
      </c>
      <c r="F9" s="94">
        <v>7300</v>
      </c>
      <c r="H9" s="8"/>
    </row>
    <row r="10" spans="1:9">
      <c r="B10" s="15" t="s">
        <v>32</v>
      </c>
      <c r="D10" s="68">
        <f>SUM(D8:D9)</f>
        <v>902600</v>
      </c>
      <c r="E10" s="68">
        <f>SUM(E8:E9)</f>
        <v>1001900</v>
      </c>
      <c r="F10" s="68">
        <f>SUM(F8:F9)</f>
        <v>1213300</v>
      </c>
      <c r="H10" s="8"/>
    </row>
    <row r="11" spans="1:9">
      <c r="B11" s="15" t="s">
        <v>31</v>
      </c>
      <c r="D11" s="67"/>
      <c r="E11" s="18"/>
      <c r="F11" s="18"/>
      <c r="H11" s="8"/>
    </row>
    <row r="12" spans="1:9">
      <c r="C12" s="15" t="s">
        <v>75</v>
      </c>
      <c r="D12" s="68">
        <v>280000</v>
      </c>
      <c r="E12" s="68">
        <v>385000</v>
      </c>
      <c r="F12" s="68">
        <v>415200</v>
      </c>
      <c r="H12" s="8"/>
    </row>
    <row r="13" spans="1:9">
      <c r="C13" s="15" t="s">
        <v>12</v>
      </c>
      <c r="D13" s="66">
        <v>25000</v>
      </c>
      <c r="E13" s="95">
        <v>72000</v>
      </c>
      <c r="F13" s="95">
        <v>68800</v>
      </c>
      <c r="H13" s="8"/>
    </row>
    <row r="14" spans="1:9">
      <c r="C14" s="15" t="s">
        <v>14</v>
      </c>
      <c r="D14" s="66">
        <f>450000/3</f>
        <v>150000</v>
      </c>
      <c r="E14" s="66">
        <f>450000/3</f>
        <v>150000</v>
      </c>
      <c r="F14" s="66">
        <v>150000</v>
      </c>
      <c r="H14" s="8"/>
      <c r="I14" s="72"/>
    </row>
    <row r="15" spans="1:9">
      <c r="C15" s="15" t="s">
        <v>77</v>
      </c>
      <c r="D15" s="66">
        <v>51500</v>
      </c>
      <c r="E15" s="66">
        <v>66000</v>
      </c>
      <c r="F15" s="66">
        <v>71900</v>
      </c>
      <c r="H15" s="8"/>
    </row>
    <row r="16" spans="1:9">
      <c r="C16" s="15" t="s">
        <v>74</v>
      </c>
      <c r="D16" s="77">
        <v>38000</v>
      </c>
      <c r="E16" s="96">
        <v>0</v>
      </c>
      <c r="F16" s="114">
        <v>0</v>
      </c>
      <c r="G16" s="17"/>
      <c r="H16" s="8"/>
    </row>
    <row r="17" spans="1:8">
      <c r="B17" s="15" t="s">
        <v>27</v>
      </c>
      <c r="D17" s="79">
        <f>SUM(D12:D16)</f>
        <v>544500</v>
      </c>
      <c r="E17" s="79">
        <f>SUM(E12:E16)</f>
        <v>673000</v>
      </c>
      <c r="F17" s="79">
        <f>SUM(F12:F16)</f>
        <v>705900</v>
      </c>
      <c r="H17" s="8"/>
    </row>
    <row r="18" spans="1:8">
      <c r="B18" s="18" t="s">
        <v>28</v>
      </c>
      <c r="C18" s="15"/>
      <c r="D18" s="68">
        <f>D10-D17</f>
        <v>358100</v>
      </c>
      <c r="E18" s="68">
        <f>E10-E17</f>
        <v>328900</v>
      </c>
      <c r="F18" s="68">
        <f>F10-F17</f>
        <v>507400</v>
      </c>
      <c r="H18" s="8"/>
    </row>
    <row r="19" spans="1:8">
      <c r="A19" s="148"/>
      <c r="B19" s="148"/>
      <c r="C19" s="148"/>
      <c r="D19" s="148"/>
      <c r="E19" s="148"/>
      <c r="F19" s="148"/>
      <c r="G19" s="148"/>
    </row>
    <row r="20" spans="1:8" ht="34" customHeight="1">
      <c r="A20" s="134" t="s">
        <v>76</v>
      </c>
      <c r="B20" s="134"/>
      <c r="C20" s="134"/>
      <c r="D20" s="134"/>
      <c r="E20" s="134"/>
      <c r="F20" s="134"/>
      <c r="G20" s="134"/>
    </row>
    <row r="21" spans="1:8" ht="15.5" customHeight="1">
      <c r="A21" s="135" t="s">
        <v>123</v>
      </c>
      <c r="B21" s="135"/>
      <c r="C21" s="135"/>
      <c r="D21" s="135"/>
      <c r="E21" s="135"/>
      <c r="F21" s="135"/>
      <c r="G21" s="135"/>
    </row>
    <row r="22" spans="1:8" ht="46.5" customHeight="1">
      <c r="A22" s="135" t="s">
        <v>124</v>
      </c>
      <c r="B22" s="135"/>
      <c r="C22" s="135"/>
      <c r="D22" s="135"/>
      <c r="E22" s="135"/>
      <c r="F22" s="135"/>
      <c r="G22" s="135"/>
    </row>
    <row r="23" spans="1:8" ht="31" customHeight="1">
      <c r="A23" s="135" t="s">
        <v>127</v>
      </c>
      <c r="B23" s="135"/>
      <c r="C23" s="135"/>
      <c r="D23" s="135"/>
      <c r="E23" s="135"/>
      <c r="F23" s="135"/>
      <c r="G23" s="135"/>
    </row>
    <row r="24" spans="1:8" ht="46.5" customHeight="1">
      <c r="A24" s="135" t="s">
        <v>138</v>
      </c>
      <c r="B24" s="135"/>
      <c r="C24" s="135"/>
      <c r="D24" s="135"/>
      <c r="E24" s="135"/>
      <c r="F24" s="135"/>
      <c r="G24" s="135"/>
    </row>
    <row r="25" spans="1:8" ht="30" customHeight="1">
      <c r="A25" s="135" t="s">
        <v>125</v>
      </c>
      <c r="B25" s="135"/>
      <c r="C25" s="135"/>
      <c r="D25" s="135"/>
      <c r="E25" s="135"/>
      <c r="F25" s="135"/>
      <c r="G25" s="135"/>
    </row>
    <row r="27" spans="1:8" ht="60.5" customHeight="1">
      <c r="A27" s="134" t="s">
        <v>149</v>
      </c>
      <c r="B27" s="134"/>
      <c r="C27" s="134"/>
      <c r="D27" s="134"/>
      <c r="E27" s="134"/>
      <c r="F27" s="134"/>
      <c r="G27" s="134"/>
    </row>
  </sheetData>
  <mergeCells count="12">
    <mergeCell ref="A27:G27"/>
    <mergeCell ref="A25:G25"/>
    <mergeCell ref="A23:G23"/>
    <mergeCell ref="A1:E1"/>
    <mergeCell ref="A3:E3"/>
    <mergeCell ref="A2:G2"/>
    <mergeCell ref="B4:C4"/>
    <mergeCell ref="A20:G20"/>
    <mergeCell ref="A21:G21"/>
    <mergeCell ref="A22:G22"/>
    <mergeCell ref="A24:G24"/>
    <mergeCell ref="A19:G19"/>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2D06E-02EF-4918-A334-B8445A24DDF2}">
  <sheetPr>
    <pageSetUpPr fitToPage="1"/>
  </sheetPr>
  <dimension ref="A1:H35"/>
  <sheetViews>
    <sheetView topLeftCell="A33" workbookViewId="0">
      <selection sqref="A1:C1"/>
    </sheetView>
  </sheetViews>
  <sheetFormatPr defaultColWidth="11" defaultRowHeight="15.5"/>
  <cols>
    <col min="1" max="1" width="57.4140625" customWidth="1"/>
    <col min="2" max="3" width="18.6640625" style="3" customWidth="1"/>
    <col min="4" max="4" width="2.6640625" customWidth="1"/>
    <col min="5" max="5" width="18.4140625" customWidth="1"/>
    <col min="6" max="6" width="11.33203125" bestFit="1" customWidth="1"/>
    <col min="7" max="7" width="18.83203125" customWidth="1"/>
  </cols>
  <sheetData>
    <row r="1" spans="1:8">
      <c r="A1" s="149" t="s">
        <v>89</v>
      </c>
      <c r="B1" s="149"/>
      <c r="C1" s="149"/>
    </row>
    <row r="2" spans="1:8">
      <c r="A2" s="1"/>
      <c r="B2" s="1"/>
      <c r="C2" s="1"/>
      <c r="E2" s="150" t="s">
        <v>33</v>
      </c>
      <c r="F2" s="150"/>
      <c r="G2" s="150"/>
      <c r="H2" s="150"/>
    </row>
    <row r="3" spans="1:8">
      <c r="A3" s="1"/>
      <c r="B3" s="1"/>
      <c r="C3" s="1"/>
      <c r="E3" s="150" t="s">
        <v>23</v>
      </c>
      <c r="F3" s="150"/>
      <c r="G3" s="150" t="s">
        <v>24</v>
      </c>
      <c r="H3" s="150"/>
    </row>
    <row r="4" spans="1:8">
      <c r="A4" s="31" t="s">
        <v>115</v>
      </c>
    </row>
    <row r="5" spans="1:8">
      <c r="A5" s="1"/>
      <c r="B5" s="29" t="s">
        <v>5</v>
      </c>
      <c r="C5" s="29" t="s">
        <v>55</v>
      </c>
    </row>
    <row r="6" spans="1:8">
      <c r="A6" t="s">
        <v>78</v>
      </c>
      <c r="B6" s="4">
        <f>450000-Case2!D14</f>
        <v>300000</v>
      </c>
      <c r="C6" s="3" t="s">
        <v>2</v>
      </c>
      <c r="E6" s="74" t="s">
        <v>40</v>
      </c>
      <c r="F6" s="75">
        <f>B6*0.21</f>
        <v>63000</v>
      </c>
      <c r="G6" s="74" t="s">
        <v>45</v>
      </c>
      <c r="H6" s="75">
        <f>F6</f>
        <v>63000</v>
      </c>
    </row>
    <row r="7" spans="1:8">
      <c r="A7" t="s">
        <v>128</v>
      </c>
      <c r="B7" s="4">
        <f>6000/2</f>
        <v>3000</v>
      </c>
      <c r="C7" s="3" t="s">
        <v>4</v>
      </c>
      <c r="F7" s="2"/>
      <c r="H7" s="2"/>
    </row>
    <row r="8" spans="1:8">
      <c r="A8" t="s">
        <v>79</v>
      </c>
      <c r="B8" s="4">
        <f>Case2!D16-4000-6772</f>
        <v>27228</v>
      </c>
      <c r="C8" s="3" t="s">
        <v>0</v>
      </c>
      <c r="E8" s="74" t="s">
        <v>46</v>
      </c>
      <c r="F8" s="75">
        <f>B8*0.21</f>
        <v>5717.88</v>
      </c>
      <c r="G8" s="74" t="s">
        <v>40</v>
      </c>
      <c r="H8" s="75">
        <f>F8</f>
        <v>5717.88</v>
      </c>
    </row>
    <row r="9" spans="1:8">
      <c r="B9" s="4"/>
    </row>
    <row r="10" spans="1:8">
      <c r="A10" t="s">
        <v>81</v>
      </c>
      <c r="B10" s="4"/>
      <c r="F10" s="2"/>
      <c r="H10" s="2"/>
    </row>
    <row r="11" spans="1:8">
      <c r="A11" t="s">
        <v>83</v>
      </c>
      <c r="B11" s="4"/>
      <c r="F11" s="2"/>
      <c r="H11" s="2"/>
    </row>
    <row r="12" spans="1:8">
      <c r="A12" t="s">
        <v>119</v>
      </c>
      <c r="B12" s="4"/>
      <c r="F12" s="2"/>
      <c r="H12" s="2"/>
    </row>
    <row r="13" spans="1:8">
      <c r="A13" t="s">
        <v>82</v>
      </c>
    </row>
    <row r="14" spans="1:8">
      <c r="A14" t="s">
        <v>120</v>
      </c>
    </row>
    <row r="15" spans="1:8">
      <c r="B15" s="4"/>
    </row>
    <row r="16" spans="1:8">
      <c r="A16" s="30" t="s">
        <v>50</v>
      </c>
      <c r="B16" s="1"/>
      <c r="C16" s="1"/>
      <c r="E16" s="29"/>
      <c r="F16" s="29"/>
      <c r="G16" s="29"/>
      <c r="H16" s="29"/>
    </row>
    <row r="17" spans="1:8">
      <c r="A17" s="25" t="str">
        <f>Case1!B23</f>
        <v>Earnings before income taxes</v>
      </c>
      <c r="B17" s="33">
        <f>Case2!D18</f>
        <v>358100</v>
      </c>
      <c r="C17" s="1"/>
      <c r="E17" s="29"/>
      <c r="F17" s="29"/>
      <c r="G17" s="29"/>
      <c r="H17" s="29"/>
    </row>
    <row r="18" spans="1:8">
      <c r="A18" s="25" t="str">
        <f>A6</f>
        <v>Depreciation and other cost recovery</v>
      </c>
      <c r="B18" s="43">
        <f>-B6</f>
        <v>-300000</v>
      </c>
      <c r="C18" s="1"/>
      <c r="E18" s="29"/>
      <c r="F18" s="29"/>
      <c r="G18" s="29"/>
      <c r="H18" s="29"/>
    </row>
    <row r="19" spans="1:8">
      <c r="A19" s="25" t="str">
        <f>A7</f>
        <v>Other operating expenses (nondeductible meals component)</v>
      </c>
      <c r="B19" s="43">
        <f>B7</f>
        <v>3000</v>
      </c>
      <c r="C19" s="1"/>
      <c r="E19" s="29"/>
      <c r="F19" s="29"/>
      <c r="G19" s="29"/>
      <c r="H19" s="29"/>
    </row>
    <row r="20" spans="1:8">
      <c r="A20" s="25" t="s">
        <v>80</v>
      </c>
      <c r="B20" s="43">
        <f>B8</f>
        <v>27228</v>
      </c>
    </row>
    <row r="21" spans="1:8" ht="16" thickBot="1">
      <c r="A21" s="25" t="s">
        <v>51</v>
      </c>
      <c r="B21" s="49">
        <f>SUM(B17:B20)</f>
        <v>88328</v>
      </c>
    </row>
    <row r="22" spans="1:8" ht="16" thickTop="1">
      <c r="B22" s="44"/>
    </row>
    <row r="23" spans="1:8">
      <c r="A23" s="31" t="s">
        <v>52</v>
      </c>
      <c r="B23" s="44"/>
    </row>
    <row r="24" spans="1:8">
      <c r="A24" t="s">
        <v>53</v>
      </c>
      <c r="B24" s="47">
        <f>B21*0.21</f>
        <v>18548.88</v>
      </c>
    </row>
    <row r="25" spans="1:8">
      <c r="A25" t="s">
        <v>6</v>
      </c>
      <c r="B25" s="46">
        <v>-2400</v>
      </c>
    </row>
    <row r="26" spans="1:8" ht="16" thickBot="1">
      <c r="A26" t="s">
        <v>54</v>
      </c>
      <c r="B26" s="48">
        <f>SUM(B24:B25)</f>
        <v>16148.880000000001</v>
      </c>
      <c r="E26" s="74" t="s">
        <v>36</v>
      </c>
      <c r="F26" s="82">
        <f>B26</f>
        <v>16148.880000000001</v>
      </c>
      <c r="G26" s="74" t="s">
        <v>44</v>
      </c>
      <c r="H26" s="82">
        <f>F26</f>
        <v>16148.880000000001</v>
      </c>
    </row>
    <row r="27" spans="1:8" ht="16" thickTop="1">
      <c r="B27" s="6"/>
    </row>
    <row r="29" spans="1:8">
      <c r="A29" s="144" t="s">
        <v>121</v>
      </c>
      <c r="B29" s="145"/>
    </row>
    <row r="30" spans="1:8">
      <c r="B30" s="36" t="s">
        <v>7</v>
      </c>
      <c r="C30" s="36" t="s">
        <v>8</v>
      </c>
    </row>
    <row r="31" spans="1:8">
      <c r="A31" t="s">
        <v>56</v>
      </c>
      <c r="B31" s="37">
        <f>Case2!D18*0.21</f>
        <v>75201</v>
      </c>
      <c r="C31" s="38">
        <v>21</v>
      </c>
    </row>
    <row r="32" spans="1:8">
      <c r="A32" s="20" t="str">
        <f>A25</f>
        <v>Credit</v>
      </c>
      <c r="B32" s="5">
        <f>B25</f>
        <v>-2400</v>
      </c>
      <c r="C32" s="39">
        <f>B32/Case2!$D$18*100</f>
        <v>-0.67020385367215862</v>
      </c>
    </row>
    <row r="33" spans="1:3">
      <c r="A33" s="20" t="s">
        <v>42</v>
      </c>
      <c r="B33" s="5">
        <f>B19*0.21</f>
        <v>630</v>
      </c>
      <c r="C33" s="39">
        <f>B33/Case2!$D$18*100</f>
        <v>0.17592851158894163</v>
      </c>
    </row>
    <row r="34" spans="1:3" ht="16" thickBot="1">
      <c r="A34" t="s">
        <v>57</v>
      </c>
      <c r="B34" s="10">
        <f>SUM(B31:B33)</f>
        <v>73431</v>
      </c>
      <c r="C34" s="97">
        <f>B34/Case2!$D$18*100</f>
        <v>20.505724657916783</v>
      </c>
    </row>
    <row r="35" spans="1:3" ht="16" thickTop="1"/>
  </sheetData>
  <mergeCells count="5">
    <mergeCell ref="A1:C1"/>
    <mergeCell ref="E2:H2"/>
    <mergeCell ref="E3:F3"/>
    <mergeCell ref="G3:H3"/>
    <mergeCell ref="A29:B29"/>
  </mergeCells>
  <dataValidations count="1">
    <dataValidation type="list" allowBlank="1" showInputMessage="1" showErrorMessage="1" sqref="C6:C12" xr:uid="{1134FEE7-4507-40A4-9BEE-5ADFEA3BC67B}">
      <formula1>Effect</formula1>
    </dataValidation>
  </dataValidations>
  <pageMargins left="0.7" right="0.7" top="0.75" bottom="0.75" header="0.3" footer="0.3"/>
  <pageSetup scale="7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18E8E-8116-42A8-B307-030B09B78609}">
  <sheetPr>
    <pageSetUpPr fitToPage="1"/>
  </sheetPr>
  <dimension ref="A1:H53"/>
  <sheetViews>
    <sheetView topLeftCell="A48" workbookViewId="0">
      <selection sqref="A1:C1"/>
    </sheetView>
  </sheetViews>
  <sheetFormatPr defaultColWidth="11" defaultRowHeight="15.5"/>
  <cols>
    <col min="1" max="1" width="57.4140625" customWidth="1"/>
    <col min="2" max="3" width="18.6640625" style="3" customWidth="1"/>
    <col min="4" max="4" width="2.6640625" customWidth="1"/>
    <col min="5" max="5" width="18.4140625" customWidth="1"/>
    <col min="6" max="6" width="11.33203125" bestFit="1" customWidth="1"/>
    <col min="7" max="7" width="18.83203125" customWidth="1"/>
  </cols>
  <sheetData>
    <row r="1" spans="1:8">
      <c r="A1" s="149" t="s">
        <v>90</v>
      </c>
      <c r="B1" s="149"/>
      <c r="C1" s="149"/>
    </row>
    <row r="2" spans="1:8">
      <c r="A2" s="1"/>
      <c r="B2" s="1"/>
      <c r="C2" s="1"/>
      <c r="E2" s="150" t="s">
        <v>33</v>
      </c>
      <c r="F2" s="150"/>
      <c r="G2" s="150"/>
      <c r="H2" s="150"/>
    </row>
    <row r="3" spans="1:8">
      <c r="A3" s="1"/>
      <c r="B3" s="1"/>
      <c r="C3" s="1"/>
      <c r="E3" s="150" t="s">
        <v>23</v>
      </c>
      <c r="F3" s="150"/>
      <c r="G3" s="150" t="s">
        <v>24</v>
      </c>
      <c r="H3" s="150"/>
    </row>
    <row r="4" spans="1:8">
      <c r="A4" s="31" t="s">
        <v>115</v>
      </c>
    </row>
    <row r="5" spans="1:8">
      <c r="A5" s="1"/>
      <c r="B5" s="29" t="s">
        <v>5</v>
      </c>
      <c r="C5" s="29" t="s">
        <v>55</v>
      </c>
    </row>
    <row r="6" spans="1:8">
      <c r="A6" t="s">
        <v>78</v>
      </c>
      <c r="B6" s="4">
        <f>Case2!E14-0</f>
        <v>150000</v>
      </c>
      <c r="C6" s="3" t="s">
        <v>3</v>
      </c>
      <c r="E6" s="74" t="s">
        <v>45</v>
      </c>
      <c r="F6" s="75">
        <f>B6*0.21</f>
        <v>31500</v>
      </c>
      <c r="G6" s="74" t="s">
        <v>40</v>
      </c>
      <c r="H6" s="75">
        <f>F6</f>
        <v>31500</v>
      </c>
    </row>
    <row r="7" spans="1:8">
      <c r="A7" t="s">
        <v>128</v>
      </c>
      <c r="B7" s="4">
        <f>9600/2</f>
        <v>4800</v>
      </c>
      <c r="C7" s="3" t="s">
        <v>4</v>
      </c>
      <c r="F7" s="2"/>
      <c r="H7" s="2"/>
    </row>
    <row r="8" spans="1:8">
      <c r="A8" t="s">
        <v>79</v>
      </c>
      <c r="B8" s="4">
        <f>1933-Case2!E16</f>
        <v>1933</v>
      </c>
      <c r="C8" s="3" t="s">
        <v>1</v>
      </c>
      <c r="E8" s="74" t="s">
        <v>40</v>
      </c>
      <c r="F8" s="75">
        <f>B8*0.21</f>
        <v>405.93</v>
      </c>
      <c r="G8" s="74" t="s">
        <v>46</v>
      </c>
      <c r="H8" s="75">
        <f>F8</f>
        <v>405.93</v>
      </c>
    </row>
    <row r="9" spans="1:8">
      <c r="B9" s="4"/>
    </row>
    <row r="10" spans="1:8">
      <c r="A10" t="s">
        <v>81</v>
      </c>
      <c r="B10" s="4"/>
      <c r="F10" s="2"/>
      <c r="H10" s="2"/>
    </row>
    <row r="11" spans="1:8">
      <c r="A11" t="s">
        <v>83</v>
      </c>
      <c r="B11" s="4"/>
      <c r="F11" s="2"/>
      <c r="H11" s="2"/>
    </row>
    <row r="12" spans="1:8">
      <c r="A12" t="s">
        <v>96</v>
      </c>
      <c r="B12" s="4"/>
      <c r="F12" s="2"/>
      <c r="H12" s="2"/>
    </row>
    <row r="13" spans="1:8">
      <c r="A13" t="s">
        <v>82</v>
      </c>
    </row>
    <row r="14" spans="1:8">
      <c r="A14" t="s">
        <v>126</v>
      </c>
      <c r="B14"/>
      <c r="C14"/>
    </row>
    <row r="15" spans="1:8">
      <c r="B15" s="4"/>
    </row>
    <row r="16" spans="1:8">
      <c r="A16" s="30" t="s">
        <v>50</v>
      </c>
      <c r="B16" s="1"/>
      <c r="C16" s="1"/>
      <c r="E16" s="29"/>
      <c r="F16" s="29"/>
      <c r="G16" s="29"/>
      <c r="H16" s="29"/>
    </row>
    <row r="17" spans="1:8">
      <c r="A17" s="25" t="str">
        <f>Case1!B23</f>
        <v>Earnings before income taxes</v>
      </c>
      <c r="B17" s="33">
        <f>Case2!E18</f>
        <v>328900</v>
      </c>
      <c r="C17" s="1"/>
      <c r="E17" s="29"/>
      <c r="F17" s="29"/>
      <c r="G17" s="29"/>
      <c r="H17" s="29"/>
    </row>
    <row r="18" spans="1:8">
      <c r="A18" s="25" t="str">
        <f>A6</f>
        <v>Depreciation and other cost recovery</v>
      </c>
      <c r="B18" s="43">
        <f>B6</f>
        <v>150000</v>
      </c>
      <c r="C18" s="1"/>
      <c r="E18" s="29"/>
      <c r="F18" s="29"/>
      <c r="G18" s="29"/>
      <c r="H18" s="29"/>
    </row>
    <row r="19" spans="1:8">
      <c r="A19" s="25" t="str">
        <f>A7</f>
        <v>Other operating expenses (nondeductible meals component)</v>
      </c>
      <c r="B19" s="43">
        <f>B7</f>
        <v>4800</v>
      </c>
      <c r="C19" s="1"/>
      <c r="E19" s="29"/>
      <c r="F19" s="29"/>
      <c r="G19" s="29"/>
      <c r="H19" s="29"/>
    </row>
    <row r="20" spans="1:8">
      <c r="A20" s="25" t="s">
        <v>80</v>
      </c>
      <c r="B20" s="43">
        <f>-B8</f>
        <v>-1933</v>
      </c>
    </row>
    <row r="21" spans="1:8" ht="16" thickBot="1">
      <c r="A21" s="25" t="s">
        <v>51</v>
      </c>
      <c r="B21" s="49">
        <f>SUM(B17:B20)</f>
        <v>481767</v>
      </c>
    </row>
    <row r="22" spans="1:8" ht="16" thickTop="1">
      <c r="B22" s="44"/>
    </row>
    <row r="23" spans="1:8">
      <c r="A23" s="31" t="s">
        <v>52</v>
      </c>
      <c r="B23" s="44"/>
    </row>
    <row r="24" spans="1:8">
      <c r="A24" t="s">
        <v>53</v>
      </c>
      <c r="B24" s="47">
        <f>B21*0.21</f>
        <v>101171.06999999999</v>
      </c>
    </row>
    <row r="25" spans="1:8">
      <c r="A25" t="s">
        <v>6</v>
      </c>
      <c r="B25" s="46">
        <v>-2400</v>
      </c>
    </row>
    <row r="26" spans="1:8" ht="16" thickBot="1">
      <c r="A26" t="s">
        <v>54</v>
      </c>
      <c r="B26" s="48">
        <f>SUM(B24:B25)</f>
        <v>98771.069999999992</v>
      </c>
      <c r="E26" s="74" t="s">
        <v>36</v>
      </c>
      <c r="F26" s="82">
        <f>B26</f>
        <v>98771.069999999992</v>
      </c>
      <c r="G26" s="74" t="s">
        <v>44</v>
      </c>
      <c r="H26" s="82">
        <f>F26</f>
        <v>98771.069999999992</v>
      </c>
    </row>
    <row r="27" spans="1:8" ht="16" thickTop="1">
      <c r="B27" s="6"/>
    </row>
    <row r="28" spans="1:8">
      <c r="A28" s="144" t="s">
        <v>84</v>
      </c>
      <c r="B28" s="145"/>
    </row>
    <row r="29" spans="1:8">
      <c r="A29" s="148" t="s">
        <v>140</v>
      </c>
      <c r="B29" s="148"/>
      <c r="C29" s="4">
        <f>'C2Year1Work'!B8-'C2Year2Work'!B8</f>
        <v>25295</v>
      </c>
    </row>
    <row r="30" spans="1:8">
      <c r="A30" s="148" t="s">
        <v>85</v>
      </c>
      <c r="B30" s="148"/>
      <c r="C30" s="85">
        <f>0.21-0.17</f>
        <v>3.999999999999998E-2</v>
      </c>
    </row>
    <row r="31" spans="1:8">
      <c r="A31" s="20" t="s">
        <v>86</v>
      </c>
      <c r="B31" s="20"/>
      <c r="C31" s="4">
        <f>C29*C30</f>
        <v>1011.7999999999995</v>
      </c>
      <c r="E31" s="74" t="s">
        <v>40</v>
      </c>
      <c r="F31" s="75">
        <f>C31</f>
        <v>1011.7999999999995</v>
      </c>
      <c r="G31" s="74" t="s">
        <v>46</v>
      </c>
      <c r="H31" s="75">
        <f>F31</f>
        <v>1011.7999999999995</v>
      </c>
    </row>
    <row r="32" spans="1:8">
      <c r="A32" s="20"/>
      <c r="B32" s="20"/>
      <c r="C32" s="4"/>
    </row>
    <row r="33" spans="1:8">
      <c r="A33" s="148" t="s">
        <v>139</v>
      </c>
      <c r="B33" s="148"/>
      <c r="C33" s="4">
        <f>'C2Year1Work'!B6-'C2Year2Work'!B6</f>
        <v>150000</v>
      </c>
    </row>
    <row r="34" spans="1:8">
      <c r="A34" s="148" t="s">
        <v>85</v>
      </c>
      <c r="B34" s="148"/>
      <c r="C34" s="85">
        <f>0.21-0.17</f>
        <v>3.999999999999998E-2</v>
      </c>
    </row>
    <row r="35" spans="1:8">
      <c r="A35" s="20" t="s">
        <v>87</v>
      </c>
      <c r="C35" s="4">
        <f>C33*C34</f>
        <v>5999.9999999999973</v>
      </c>
      <c r="E35" s="74" t="s">
        <v>45</v>
      </c>
      <c r="F35" s="75">
        <f>C35</f>
        <v>5999.9999999999973</v>
      </c>
      <c r="G35" s="74" t="s">
        <v>40</v>
      </c>
      <c r="H35" s="75">
        <f>F35</f>
        <v>5999.9999999999973</v>
      </c>
    </row>
    <row r="37" spans="1:8">
      <c r="A37" s="98" t="s">
        <v>98</v>
      </c>
      <c r="B37" s="99"/>
      <c r="C37" s="99"/>
      <c r="D37" s="100"/>
      <c r="E37" s="100"/>
      <c r="F37" s="100"/>
      <c r="G37" s="100"/>
    </row>
    <row r="38" spans="1:8">
      <c r="A38" s="100"/>
      <c r="B38" s="99"/>
      <c r="C38" s="99"/>
      <c r="D38" s="100"/>
      <c r="E38" s="100"/>
      <c r="F38" s="100"/>
      <c r="G38" s="100"/>
    </row>
    <row r="39" spans="1:8">
      <c r="A39" s="100"/>
      <c r="B39" s="99"/>
      <c r="C39" s="99"/>
      <c r="D39" s="100"/>
      <c r="E39" s="100"/>
      <c r="F39" s="100"/>
      <c r="G39" s="100"/>
    </row>
    <row r="40" spans="1:8">
      <c r="A40" s="100"/>
      <c r="B40" s="99"/>
      <c r="C40" s="99"/>
      <c r="D40" s="100"/>
      <c r="E40" s="100"/>
      <c r="F40" s="100"/>
      <c r="G40" s="100"/>
    </row>
    <row r="41" spans="1:8">
      <c r="A41" s="100"/>
      <c r="B41" s="99"/>
      <c r="C41" s="99"/>
      <c r="D41" s="100"/>
      <c r="E41" s="100"/>
      <c r="F41" s="100"/>
      <c r="G41" s="100"/>
    </row>
    <row r="42" spans="1:8">
      <c r="A42" s="100"/>
      <c r="B42" s="99"/>
      <c r="C42" s="99"/>
      <c r="D42" s="100"/>
      <c r="E42" s="100"/>
      <c r="F42" s="100"/>
      <c r="G42" s="100"/>
    </row>
    <row r="43" spans="1:8">
      <c r="A43" s="100"/>
      <c r="B43" s="99"/>
      <c r="C43" s="99"/>
      <c r="D43" s="100"/>
      <c r="E43" s="100"/>
      <c r="F43" s="100"/>
      <c r="G43" s="100"/>
    </row>
    <row r="44" spans="1:8">
      <c r="A44" s="100"/>
      <c r="B44" s="99"/>
      <c r="C44" s="99"/>
      <c r="D44" s="100"/>
      <c r="E44" s="100"/>
      <c r="F44" s="100"/>
      <c r="G44" s="100"/>
    </row>
    <row r="45" spans="1:8" s="101" customFormat="1">
      <c r="B45" s="102"/>
      <c r="C45" s="102"/>
    </row>
    <row r="46" spans="1:8">
      <c r="A46" s="144" t="s">
        <v>121</v>
      </c>
      <c r="B46" s="145"/>
    </row>
    <row r="47" spans="1:8">
      <c r="B47" s="36" t="s">
        <v>7</v>
      </c>
      <c r="C47" s="36" t="s">
        <v>8</v>
      </c>
    </row>
    <row r="48" spans="1:8">
      <c r="A48" t="s">
        <v>56</v>
      </c>
      <c r="B48" s="37">
        <f>Case2!E18*0.21</f>
        <v>69069</v>
      </c>
      <c r="C48" s="38">
        <v>21</v>
      </c>
    </row>
    <row r="49" spans="1:3">
      <c r="A49" s="20" t="s">
        <v>6</v>
      </c>
      <c r="B49" s="5">
        <f>B25</f>
        <v>-2400</v>
      </c>
      <c r="C49" s="39">
        <f>B49/Case2!$E$18*100</f>
        <v>-0.72970507753116454</v>
      </c>
    </row>
    <row r="50" spans="1:3">
      <c r="A50" s="20" t="s">
        <v>97</v>
      </c>
      <c r="B50" s="5">
        <f>F31-H35</f>
        <v>-4988.199999999998</v>
      </c>
      <c r="C50" s="39">
        <f>B50/Case2!$E$18*100</f>
        <v>-1.5166311948920639</v>
      </c>
    </row>
    <row r="51" spans="1:3">
      <c r="A51" s="20" t="s">
        <v>42</v>
      </c>
      <c r="B51" s="5">
        <f>B7*0.21</f>
        <v>1008</v>
      </c>
      <c r="C51" s="39">
        <f>B51/Case2!$E$18*100</f>
        <v>0.30647613256308909</v>
      </c>
    </row>
    <row r="52" spans="1:3" ht="16" thickBot="1">
      <c r="A52" t="s">
        <v>57</v>
      </c>
      <c r="B52" s="10">
        <f>SUM(B48:B51)</f>
        <v>62688.800000000003</v>
      </c>
      <c r="C52" s="97">
        <f>B52/Case2!$E$18*100</f>
        <v>19.060139860139859</v>
      </c>
    </row>
    <row r="53" spans="1:3" ht="16" thickTop="1"/>
  </sheetData>
  <mergeCells count="10">
    <mergeCell ref="E2:H2"/>
    <mergeCell ref="E3:F3"/>
    <mergeCell ref="G3:H3"/>
    <mergeCell ref="A28:B28"/>
    <mergeCell ref="A29:B29"/>
    <mergeCell ref="A33:B33"/>
    <mergeCell ref="A30:B30"/>
    <mergeCell ref="A34:B34"/>
    <mergeCell ref="A46:B46"/>
    <mergeCell ref="A1:C1"/>
  </mergeCells>
  <dataValidations count="1">
    <dataValidation type="list" allowBlank="1" showInputMessage="1" showErrorMessage="1" sqref="C6:C12" xr:uid="{D5BA0DA1-AD26-47FA-B818-EF293ADCA5E8}">
      <formula1>Effect</formula1>
    </dataValidation>
  </dataValidations>
  <pageMargins left="0.7" right="0.7" top="0.75" bottom="0.75" header="0.3" footer="0.3"/>
  <pageSetup scale="61"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7897A-2EB1-47C3-961E-6DA480639B2F}">
  <sheetPr>
    <pageSetUpPr fitToPage="1"/>
  </sheetPr>
  <dimension ref="A1:H34"/>
  <sheetViews>
    <sheetView topLeftCell="A27" workbookViewId="0">
      <selection sqref="A1:C1"/>
    </sheetView>
  </sheetViews>
  <sheetFormatPr defaultColWidth="11" defaultRowHeight="15.5"/>
  <cols>
    <col min="1" max="1" width="57.4140625" customWidth="1"/>
    <col min="2" max="3" width="18.6640625" style="3" customWidth="1"/>
    <col min="4" max="4" width="2.6640625" customWidth="1"/>
    <col min="5" max="5" width="18.4140625" customWidth="1"/>
    <col min="6" max="6" width="11.33203125" bestFit="1" customWidth="1"/>
    <col min="7" max="7" width="18.83203125" customWidth="1"/>
  </cols>
  <sheetData>
    <row r="1" spans="1:8">
      <c r="A1" s="149" t="s">
        <v>129</v>
      </c>
      <c r="B1" s="149"/>
      <c r="C1" s="149"/>
    </row>
    <row r="2" spans="1:8">
      <c r="A2" s="1"/>
      <c r="B2" s="1"/>
      <c r="C2" s="1"/>
      <c r="E2" s="150" t="s">
        <v>33</v>
      </c>
      <c r="F2" s="150"/>
      <c r="G2" s="150"/>
      <c r="H2" s="150"/>
    </row>
    <row r="3" spans="1:8">
      <c r="A3" s="1"/>
      <c r="B3" s="1"/>
      <c r="C3" s="1"/>
      <c r="E3" s="150" t="s">
        <v>23</v>
      </c>
      <c r="F3" s="150"/>
      <c r="G3" s="150" t="s">
        <v>24</v>
      </c>
      <c r="H3" s="150"/>
    </row>
    <row r="4" spans="1:8">
      <c r="A4" s="31" t="s">
        <v>115</v>
      </c>
    </row>
    <row r="5" spans="1:8">
      <c r="A5" s="1"/>
      <c r="B5" s="29" t="s">
        <v>5</v>
      </c>
      <c r="C5" s="29" t="s">
        <v>55</v>
      </c>
    </row>
    <row r="6" spans="1:8">
      <c r="A6" t="s">
        <v>78</v>
      </c>
      <c r="B6" s="4">
        <f>Case2!E14-0</f>
        <v>150000</v>
      </c>
      <c r="C6" s="3" t="s">
        <v>3</v>
      </c>
      <c r="E6" s="74" t="s">
        <v>45</v>
      </c>
      <c r="F6" s="75">
        <f>B6*0.17</f>
        <v>25500.000000000004</v>
      </c>
      <c r="G6" s="74" t="s">
        <v>40</v>
      </c>
      <c r="H6" s="75">
        <f>F6</f>
        <v>25500.000000000004</v>
      </c>
    </row>
    <row r="7" spans="1:8">
      <c r="A7" t="s">
        <v>128</v>
      </c>
      <c r="B7" s="4">
        <f>11700/2</f>
        <v>5850</v>
      </c>
      <c r="C7" s="3" t="s">
        <v>4</v>
      </c>
      <c r="F7" s="2"/>
      <c r="H7" s="2"/>
    </row>
    <row r="8" spans="1:8">
      <c r="A8" t="s">
        <v>79</v>
      </c>
      <c r="B8" s="4">
        <f>1933-Case2!E16</f>
        <v>1933</v>
      </c>
      <c r="C8" s="3" t="s">
        <v>1</v>
      </c>
      <c r="E8" s="74" t="s">
        <v>40</v>
      </c>
      <c r="F8" s="75">
        <f>B8*0.17</f>
        <v>328.61</v>
      </c>
      <c r="G8" s="74" t="s">
        <v>46</v>
      </c>
      <c r="H8" s="75">
        <f>F8</f>
        <v>328.61</v>
      </c>
    </row>
    <row r="9" spans="1:8">
      <c r="B9" s="4"/>
    </row>
    <row r="10" spans="1:8">
      <c r="A10" t="s">
        <v>81</v>
      </c>
      <c r="B10" s="4"/>
      <c r="F10" s="2"/>
      <c r="H10" s="2"/>
    </row>
    <row r="11" spans="1:8">
      <c r="A11" t="s">
        <v>83</v>
      </c>
      <c r="B11" s="4"/>
      <c r="F11" s="2"/>
      <c r="H11" s="2"/>
    </row>
    <row r="12" spans="1:8">
      <c r="A12" t="s">
        <v>96</v>
      </c>
      <c r="B12" s="4"/>
      <c r="F12" s="2"/>
      <c r="H12" s="2"/>
    </row>
    <row r="13" spans="1:8">
      <c r="A13" t="s">
        <v>82</v>
      </c>
    </row>
    <row r="14" spans="1:8">
      <c r="A14" t="s">
        <v>126</v>
      </c>
      <c r="B14"/>
      <c r="C14"/>
    </row>
    <row r="15" spans="1:8">
      <c r="B15" s="4"/>
    </row>
    <row r="16" spans="1:8">
      <c r="A16" s="30" t="s">
        <v>50</v>
      </c>
      <c r="B16" s="1"/>
      <c r="C16" s="1"/>
      <c r="E16" s="29"/>
      <c r="F16" s="29"/>
      <c r="G16" s="29"/>
      <c r="H16" s="29"/>
    </row>
    <row r="17" spans="1:8">
      <c r="A17" s="25" t="str">
        <f>Case1!B23</f>
        <v>Earnings before income taxes</v>
      </c>
      <c r="B17" s="33">
        <f>Case2!F18</f>
        <v>507400</v>
      </c>
      <c r="C17" s="1"/>
      <c r="E17" s="29"/>
      <c r="F17" s="29"/>
      <c r="G17" s="29"/>
      <c r="H17" s="29"/>
    </row>
    <row r="18" spans="1:8">
      <c r="A18" s="25" t="str">
        <f>A6</f>
        <v>Depreciation and other cost recovery</v>
      </c>
      <c r="B18" s="43">
        <f>B6</f>
        <v>150000</v>
      </c>
      <c r="C18" s="1"/>
      <c r="E18" s="29"/>
      <c r="F18" s="29"/>
      <c r="G18" s="29"/>
      <c r="H18" s="29"/>
    </row>
    <row r="19" spans="1:8">
      <c r="A19" s="25" t="str">
        <f>A7</f>
        <v>Other operating expenses (nondeductible meals component)</v>
      </c>
      <c r="B19" s="43">
        <f>B7</f>
        <v>5850</v>
      </c>
      <c r="C19" s="1"/>
      <c r="E19" s="29"/>
      <c r="F19" s="29"/>
      <c r="G19" s="29"/>
      <c r="H19" s="29"/>
    </row>
    <row r="20" spans="1:8">
      <c r="A20" s="25" t="s">
        <v>80</v>
      </c>
      <c r="B20" s="43">
        <f>-B8</f>
        <v>-1933</v>
      </c>
    </row>
    <row r="21" spans="1:8" ht="16" thickBot="1">
      <c r="A21" s="25" t="s">
        <v>51</v>
      </c>
      <c r="B21" s="49">
        <f>SUM(B17:B20)</f>
        <v>661317</v>
      </c>
    </row>
    <row r="22" spans="1:8" ht="16" thickTop="1">
      <c r="B22" s="44"/>
    </row>
    <row r="23" spans="1:8">
      <c r="A23" s="31" t="s">
        <v>52</v>
      </c>
      <c r="B23" s="44"/>
    </row>
    <row r="24" spans="1:8">
      <c r="A24" t="s">
        <v>53</v>
      </c>
      <c r="B24" s="47">
        <f>B21*0.17</f>
        <v>112423.89000000001</v>
      </c>
    </row>
    <row r="25" spans="1:8">
      <c r="A25" t="s">
        <v>6</v>
      </c>
      <c r="B25" s="46">
        <v>0</v>
      </c>
    </row>
    <row r="26" spans="1:8" ht="16" thickBot="1">
      <c r="A26" t="s">
        <v>54</v>
      </c>
      <c r="B26" s="48">
        <f>SUM(B24:B25)</f>
        <v>112423.89000000001</v>
      </c>
      <c r="E26" s="74" t="s">
        <v>36</v>
      </c>
      <c r="F26" s="82">
        <f>B26</f>
        <v>112423.89000000001</v>
      </c>
      <c r="G26" s="74" t="s">
        <v>44</v>
      </c>
      <c r="H26" s="82">
        <f>F26</f>
        <v>112423.89000000001</v>
      </c>
    </row>
    <row r="27" spans="1:8" ht="16" thickTop="1">
      <c r="B27" s="6"/>
    </row>
    <row r="28" spans="1:8" s="101" customFormat="1">
      <c r="B28" s="102"/>
      <c r="C28" s="102"/>
    </row>
    <row r="29" spans="1:8">
      <c r="A29" s="144" t="s">
        <v>121</v>
      </c>
      <c r="B29" s="145"/>
    </row>
    <row r="30" spans="1:8">
      <c r="B30" s="36" t="s">
        <v>7</v>
      </c>
      <c r="C30" s="36" t="s">
        <v>8</v>
      </c>
    </row>
    <row r="31" spans="1:8">
      <c r="A31" t="s">
        <v>56</v>
      </c>
      <c r="B31" s="37">
        <f>Case2!F18*0.17</f>
        <v>86258</v>
      </c>
      <c r="C31" s="38">
        <v>17</v>
      </c>
    </row>
    <row r="32" spans="1:8">
      <c r="A32" t="s">
        <v>42</v>
      </c>
      <c r="B32" s="37">
        <f>B7*0.17</f>
        <v>994.50000000000011</v>
      </c>
      <c r="C32" s="38">
        <f>B32/Case2!$F$18*100</f>
        <v>0.19599921166732365</v>
      </c>
    </row>
    <row r="33" spans="1:3" ht="16" thickBot="1">
      <c r="A33" t="s">
        <v>57</v>
      </c>
      <c r="B33" s="10">
        <f>SUM(B31:B32)</f>
        <v>87252.5</v>
      </c>
      <c r="C33" s="41">
        <f>B33/Case2!$F$18*100</f>
        <v>17.195999211667324</v>
      </c>
    </row>
    <row r="34" spans="1:3" ht="16" thickTop="1"/>
  </sheetData>
  <mergeCells count="5">
    <mergeCell ref="A29:B29"/>
    <mergeCell ref="A1:C1"/>
    <mergeCell ref="E2:H2"/>
    <mergeCell ref="E3:F3"/>
    <mergeCell ref="G3:H3"/>
  </mergeCells>
  <dataValidations count="1">
    <dataValidation type="list" allowBlank="1" showInputMessage="1" showErrorMessage="1" sqref="C6:C12" xr:uid="{2EDAF3B3-1F2E-4498-8ECF-46007EE30A4C}">
      <formula1>Effect</formula1>
    </dataValidation>
  </dataValidations>
  <pageMargins left="0.7" right="0.7" top="0.75" bottom="0.75" header="0.3" footer="0.3"/>
  <pageSetup scale="71"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491D2-87AB-433C-B913-8595686F815C}">
  <sheetPr>
    <pageSetUpPr fitToPage="1"/>
  </sheetPr>
  <dimension ref="A1:L31"/>
  <sheetViews>
    <sheetView workbookViewId="0">
      <selection sqref="A1:H1"/>
    </sheetView>
  </sheetViews>
  <sheetFormatPr defaultColWidth="11" defaultRowHeight="15.5"/>
  <cols>
    <col min="1" max="1" width="31.25" customWidth="1"/>
    <col min="2" max="4" width="10.4140625" style="3" customWidth="1"/>
    <col min="5" max="5" width="3.25" style="3" customWidth="1"/>
    <col min="6" max="6" width="59.08203125" customWidth="1"/>
    <col min="7" max="7" width="9" customWidth="1"/>
    <col min="8" max="8" width="6.9140625" customWidth="1"/>
    <col min="9" max="9" width="9.9140625" customWidth="1"/>
    <col min="10" max="10" width="6.9140625" customWidth="1"/>
    <col min="11" max="11" width="9.9140625" customWidth="1"/>
    <col min="12" max="12" width="6.9140625" customWidth="1"/>
    <col min="13" max="13" width="1.4140625" customWidth="1"/>
  </cols>
  <sheetData>
    <row r="1" spans="1:12" ht="17.5" customHeight="1">
      <c r="A1" s="149" t="s">
        <v>88</v>
      </c>
      <c r="B1" s="149"/>
      <c r="C1" s="149"/>
      <c r="D1" s="149"/>
      <c r="E1" s="149"/>
      <c r="F1" s="149"/>
      <c r="G1" s="149"/>
      <c r="H1" s="149"/>
      <c r="I1" s="74"/>
      <c r="J1" s="74"/>
      <c r="K1" s="74"/>
      <c r="L1" s="74"/>
    </row>
    <row r="2" spans="1:12">
      <c r="A2" s="1"/>
      <c r="B2" s="1"/>
      <c r="C2" s="1"/>
      <c r="D2" s="1"/>
      <c r="E2" s="1"/>
    </row>
    <row r="3" spans="1:12" ht="20" customHeight="1">
      <c r="E3" s="27"/>
      <c r="G3" s="151" t="s">
        <v>72</v>
      </c>
      <c r="H3" s="151"/>
      <c r="I3" s="151" t="s">
        <v>73</v>
      </c>
      <c r="J3" s="151"/>
      <c r="K3" s="151" t="s">
        <v>122</v>
      </c>
      <c r="L3" s="151"/>
    </row>
    <row r="4" spans="1:12" ht="20" customHeight="1">
      <c r="A4" s="76" t="s">
        <v>35</v>
      </c>
      <c r="B4" s="93" t="s">
        <v>72</v>
      </c>
      <c r="C4" s="93" t="s">
        <v>73</v>
      </c>
      <c r="D4" s="93" t="s">
        <v>122</v>
      </c>
      <c r="E4" s="1"/>
      <c r="F4" s="81" t="s">
        <v>65</v>
      </c>
      <c r="G4" s="83" t="s">
        <v>7</v>
      </c>
      <c r="H4" s="83" t="s">
        <v>8</v>
      </c>
      <c r="I4" s="83" t="s">
        <v>7</v>
      </c>
      <c r="J4" s="83" t="s">
        <v>8</v>
      </c>
      <c r="K4" s="83" t="s">
        <v>7</v>
      </c>
      <c r="L4" s="83" t="s">
        <v>8</v>
      </c>
    </row>
    <row r="5" spans="1:12" s="20" customFormat="1" ht="20" customHeight="1">
      <c r="A5" s="25" t="s">
        <v>141</v>
      </c>
      <c r="B5" s="28"/>
      <c r="C5" s="28"/>
      <c r="D5" s="28"/>
      <c r="E5" s="1"/>
      <c r="F5" s="25" t="s">
        <v>56</v>
      </c>
      <c r="G5" s="54">
        <f>Case2!D18*0.21</f>
        <v>75201</v>
      </c>
      <c r="H5" s="55">
        <v>21</v>
      </c>
      <c r="I5" s="42">
        <f>Case2!E18*0.21</f>
        <v>69069</v>
      </c>
      <c r="J5" s="60">
        <v>21</v>
      </c>
      <c r="K5" s="4">
        <f>Case2!F18*0.17</f>
        <v>86258</v>
      </c>
      <c r="L5" s="60">
        <v>17</v>
      </c>
    </row>
    <row r="6" spans="1:12" s="20" customFormat="1" ht="20" customHeight="1">
      <c r="A6" s="25" t="s">
        <v>37</v>
      </c>
      <c r="B6" s="51">
        <f>'C2Year1Work'!F26</f>
        <v>16148.880000000001</v>
      </c>
      <c r="C6" s="51">
        <f>'C2Year2Work'!F26</f>
        <v>98771.069999999992</v>
      </c>
      <c r="D6" s="51">
        <f>'C2Year3Work'!F26</f>
        <v>112423.89000000001</v>
      </c>
      <c r="E6" s="1"/>
      <c r="F6" s="53" t="s">
        <v>58</v>
      </c>
      <c r="G6" s="56" t="s">
        <v>66</v>
      </c>
      <c r="H6" s="55" t="s">
        <v>66</v>
      </c>
      <c r="I6" s="56" t="s">
        <v>66</v>
      </c>
      <c r="J6" s="55" t="s">
        <v>66</v>
      </c>
      <c r="K6" s="56" t="s">
        <v>66</v>
      </c>
      <c r="L6" s="55" t="s">
        <v>66</v>
      </c>
    </row>
    <row r="7" spans="1:12" s="20" customFormat="1" ht="20" customHeight="1">
      <c r="A7" s="25" t="s">
        <v>38</v>
      </c>
      <c r="B7" s="52">
        <v>0</v>
      </c>
      <c r="C7" s="52">
        <v>0</v>
      </c>
      <c r="D7" s="52">
        <v>0</v>
      </c>
      <c r="E7" s="1"/>
      <c r="F7" s="53" t="s">
        <v>59</v>
      </c>
      <c r="G7" s="56" t="s">
        <v>66</v>
      </c>
      <c r="H7" s="55" t="s">
        <v>66</v>
      </c>
      <c r="I7" s="56" t="s">
        <v>66</v>
      </c>
      <c r="J7" s="55" t="s">
        <v>66</v>
      </c>
      <c r="K7" s="56" t="s">
        <v>66</v>
      </c>
      <c r="L7" s="55" t="s">
        <v>66</v>
      </c>
    </row>
    <row r="8" spans="1:12" s="20" customFormat="1" ht="20" customHeight="1">
      <c r="A8" s="25" t="s">
        <v>39</v>
      </c>
      <c r="B8" s="86">
        <v>0</v>
      </c>
      <c r="C8" s="86">
        <v>0</v>
      </c>
      <c r="D8" s="86">
        <v>0</v>
      </c>
      <c r="E8" s="1"/>
      <c r="F8" s="53" t="s">
        <v>60</v>
      </c>
      <c r="G8" s="56" t="s">
        <v>66</v>
      </c>
      <c r="H8" s="55" t="s">
        <v>66</v>
      </c>
      <c r="I8" s="5">
        <f>'C2Year2Work'!F31-'C2Year2Work'!H35</f>
        <v>-4988.199999999998</v>
      </c>
      <c r="J8" s="38">
        <f>I8/Case2!$E$18*100</f>
        <v>-1.5166311948920639</v>
      </c>
      <c r="K8" s="56" t="s">
        <v>66</v>
      </c>
      <c r="L8" s="55" t="s">
        <v>66</v>
      </c>
    </row>
    <row r="9" spans="1:12" s="20" customFormat="1" ht="20" customHeight="1">
      <c r="A9" s="25" t="s">
        <v>142</v>
      </c>
      <c r="B9" s="52">
        <f>SUM(B6:B8)</f>
        <v>16148.880000000001</v>
      </c>
      <c r="C9" s="52">
        <f>SUM(C6:C8)</f>
        <v>98771.069999999992</v>
      </c>
      <c r="D9" s="52">
        <f>SUM(D6:D8)</f>
        <v>112423.89000000001</v>
      </c>
      <c r="E9" s="1"/>
      <c r="F9" s="53" t="s">
        <v>61</v>
      </c>
      <c r="G9" s="56" t="s">
        <v>66</v>
      </c>
      <c r="H9" s="55" t="s">
        <v>66</v>
      </c>
      <c r="I9" s="56" t="s">
        <v>66</v>
      </c>
      <c r="J9" s="38" t="s">
        <v>66</v>
      </c>
      <c r="K9" s="56" t="s">
        <v>66</v>
      </c>
      <c r="L9" s="55" t="s">
        <v>66</v>
      </c>
    </row>
    <row r="10" spans="1:12" s="20" customFormat="1" ht="20" customHeight="1">
      <c r="A10" s="25" t="s">
        <v>41</v>
      </c>
      <c r="B10" s="52"/>
      <c r="C10" s="52"/>
      <c r="D10" s="52"/>
      <c r="E10" s="1"/>
      <c r="F10" s="53" t="s">
        <v>62</v>
      </c>
      <c r="G10" s="57">
        <f>'C2Year1Work'!B25</f>
        <v>-2400</v>
      </c>
      <c r="H10" s="58">
        <f>G10/Case2!$D$18*100</f>
        <v>-0.67020385367215862</v>
      </c>
      <c r="I10" s="5">
        <f>'C2Year2Work'!B25</f>
        <v>-2400</v>
      </c>
      <c r="J10" s="38">
        <f>I10/Case2!$E$18*100</f>
        <v>-0.72970507753116454</v>
      </c>
      <c r="K10" s="56" t="s">
        <v>66</v>
      </c>
      <c r="L10" s="55" t="s">
        <v>66</v>
      </c>
    </row>
    <row r="11" spans="1:12" s="20" customFormat="1" ht="20" customHeight="1">
      <c r="A11" s="25" t="s">
        <v>37</v>
      </c>
      <c r="B11" s="52">
        <f>'C2Year1Work'!F6-'C2Year1Work'!H8</f>
        <v>57282.12</v>
      </c>
      <c r="C11" s="52">
        <f>'C2Year2Work'!F8-'C2Year2Work'!H6+'C2Year2Work'!F31-'C2Year2Work'!H35</f>
        <v>-36082.269999999997</v>
      </c>
      <c r="D11" s="52">
        <f>'C2Year3Work'!F8-'C2Year3Work'!H6</f>
        <v>-25171.390000000003</v>
      </c>
      <c r="E11" s="1"/>
      <c r="F11" s="53" t="s">
        <v>63</v>
      </c>
      <c r="G11" s="56" t="s">
        <v>66</v>
      </c>
      <c r="H11" s="58" t="s">
        <v>66</v>
      </c>
      <c r="I11" s="56" t="s">
        <v>66</v>
      </c>
      <c r="J11" s="38" t="s">
        <v>66</v>
      </c>
      <c r="K11" s="56" t="s">
        <v>66</v>
      </c>
      <c r="L11" s="55" t="s">
        <v>66</v>
      </c>
    </row>
    <row r="12" spans="1:12" s="20" customFormat="1" ht="20" customHeight="1">
      <c r="A12" s="25" t="s">
        <v>38</v>
      </c>
      <c r="B12" s="52">
        <v>0</v>
      </c>
      <c r="C12" s="52">
        <v>0</v>
      </c>
      <c r="D12" s="52">
        <v>0</v>
      </c>
      <c r="E12" s="1"/>
      <c r="F12" s="53" t="s">
        <v>64</v>
      </c>
      <c r="G12" s="56">
        <f>'C2Year1Work'!B7*0.21</f>
        <v>630</v>
      </c>
      <c r="H12" s="58">
        <f>G12/Case2!$D$18*100</f>
        <v>0.17592851158894163</v>
      </c>
      <c r="I12" s="57">
        <f>'C2Year2Work'!B7*0.21</f>
        <v>1008</v>
      </c>
      <c r="J12" s="38">
        <f>I12/Case2!$E$18*100</f>
        <v>0.30647613256308909</v>
      </c>
      <c r="K12" s="117">
        <f>'C2Year3Work'!B7*0.17</f>
        <v>994.50000000000011</v>
      </c>
      <c r="L12" s="55">
        <f>K12/Case2!$F$18*100</f>
        <v>0.19599921166732365</v>
      </c>
    </row>
    <row r="13" spans="1:12" s="20" customFormat="1" ht="20" customHeight="1" thickBot="1">
      <c r="A13" s="122" t="s">
        <v>39</v>
      </c>
      <c r="B13" s="86">
        <v>0</v>
      </c>
      <c r="C13" s="86">
        <v>0</v>
      </c>
      <c r="D13" s="86">
        <v>0</v>
      </c>
      <c r="E13" s="1"/>
      <c r="F13" s="20" t="s">
        <v>29</v>
      </c>
      <c r="G13" s="10">
        <f>SUM(G5:G12)</f>
        <v>73431</v>
      </c>
      <c r="H13" s="62">
        <f>G13/Case2!$D$18*100</f>
        <v>20.505724657916783</v>
      </c>
      <c r="I13" s="10">
        <f>SUM(I5:I12)</f>
        <v>62688.800000000003</v>
      </c>
      <c r="J13" s="62">
        <f>I13/Case2!$E$18*100</f>
        <v>19.060139860139859</v>
      </c>
      <c r="K13" s="116">
        <f>SUM(K5:K12)</f>
        <v>87252.5</v>
      </c>
      <c r="L13" s="115">
        <f>K13/Case2!$F$18*100</f>
        <v>17.195999211667324</v>
      </c>
    </row>
    <row r="14" spans="1:12" s="20" customFormat="1" ht="20" customHeight="1" thickTop="1">
      <c r="A14" s="25" t="s">
        <v>143</v>
      </c>
      <c r="B14" s="87">
        <f>SUM(B11:B13)</f>
        <v>57282.12</v>
      </c>
      <c r="C14" s="87">
        <f>SUM(C11:C13)</f>
        <v>-36082.269999999997</v>
      </c>
      <c r="D14" s="87">
        <f>SUM(D11:D13)</f>
        <v>-25171.390000000003</v>
      </c>
      <c r="E14" s="1"/>
      <c r="F14" s="90"/>
      <c r="G14" s="90"/>
      <c r="H14" s="90"/>
      <c r="I14" s="90"/>
      <c r="J14" s="90"/>
      <c r="K14" s="89"/>
      <c r="L14" s="89"/>
    </row>
    <row r="15" spans="1:12" ht="20" customHeight="1">
      <c r="A15" s="25" t="s">
        <v>29</v>
      </c>
      <c r="B15" s="121"/>
      <c r="C15" s="121"/>
      <c r="D15" s="121"/>
      <c r="E15" s="1"/>
      <c r="F15" s="90"/>
      <c r="G15" s="90"/>
      <c r="H15" s="90"/>
      <c r="I15" s="90"/>
      <c r="J15" s="90"/>
      <c r="K15" s="89"/>
      <c r="L15" s="89"/>
    </row>
    <row r="16" spans="1:12" ht="20" customHeight="1">
      <c r="A16" s="25" t="s">
        <v>37</v>
      </c>
      <c r="B16" s="121">
        <f>B6+B11</f>
        <v>73431</v>
      </c>
      <c r="C16" s="121">
        <f t="shared" ref="C16:D16" si="0">C6+C11</f>
        <v>62688.799999999996</v>
      </c>
      <c r="D16" s="121">
        <f t="shared" si="0"/>
        <v>87252.500000000015</v>
      </c>
      <c r="F16" s="90"/>
      <c r="G16" s="90"/>
      <c r="H16" s="90"/>
      <c r="I16" s="90"/>
      <c r="J16" s="90"/>
      <c r="K16" s="90"/>
      <c r="L16" s="90"/>
    </row>
    <row r="17" spans="1:6" ht="20" customHeight="1">
      <c r="A17" s="25" t="s">
        <v>38</v>
      </c>
      <c r="B17" s="52">
        <v>0</v>
      </c>
      <c r="C17" s="52">
        <v>0</v>
      </c>
      <c r="D17" s="52">
        <v>0</v>
      </c>
      <c r="F17" s="16"/>
    </row>
    <row r="18" spans="1:6" ht="20" customHeight="1">
      <c r="A18" s="122" t="s">
        <v>39</v>
      </c>
      <c r="B18" s="86">
        <v>0</v>
      </c>
      <c r="C18" s="86">
        <v>0</v>
      </c>
      <c r="D18" s="86">
        <v>0</v>
      </c>
      <c r="F18" s="12"/>
    </row>
    <row r="19" spans="1:6" ht="20" customHeight="1" thickBot="1">
      <c r="A19" s="25" t="s">
        <v>144</v>
      </c>
      <c r="B19" s="124">
        <f>SUM(B16:B18)</f>
        <v>73431</v>
      </c>
      <c r="C19" s="124">
        <f t="shared" ref="C19:D19" si="1">SUM(C16:C18)</f>
        <v>62688.799999999996</v>
      </c>
      <c r="D19" s="124">
        <f t="shared" si="1"/>
        <v>87252.500000000015</v>
      </c>
      <c r="F19" s="12"/>
    </row>
    <row r="20" spans="1:6" ht="20" customHeight="1" thickTop="1">
      <c r="A20" s="25"/>
      <c r="B20" s="121"/>
      <c r="C20" s="121"/>
      <c r="D20" s="121"/>
      <c r="F20" s="12"/>
    </row>
    <row r="21" spans="1:6" ht="20" customHeight="1">
      <c r="A21" s="84" t="s">
        <v>146</v>
      </c>
      <c r="B21" s="93" t="s">
        <v>72</v>
      </c>
      <c r="C21" s="93" t="s">
        <v>73</v>
      </c>
      <c r="D21" s="93" t="s">
        <v>122</v>
      </c>
      <c r="F21" s="12"/>
    </row>
    <row r="22" spans="1:6" ht="20" customHeight="1">
      <c r="A22" s="35" t="s">
        <v>28</v>
      </c>
      <c r="B22" s="63">
        <f>Case2!D18</f>
        <v>358100</v>
      </c>
      <c r="C22" s="63">
        <f>Case2!E18</f>
        <v>328900</v>
      </c>
      <c r="D22" s="63">
        <f>Case2!F18</f>
        <v>507400</v>
      </c>
      <c r="F22" s="12"/>
    </row>
    <row r="23" spans="1:6" ht="20" customHeight="1">
      <c r="A23" t="s">
        <v>29</v>
      </c>
      <c r="B23" s="46">
        <f>-B19</f>
        <v>-73431</v>
      </c>
      <c r="C23" s="46">
        <f>-C19</f>
        <v>-62688.799999999996</v>
      </c>
      <c r="D23" s="46">
        <f>-D19</f>
        <v>-87252.500000000015</v>
      </c>
      <c r="F23" s="12"/>
    </row>
    <row r="24" spans="1:6" ht="18" customHeight="1" thickBot="1">
      <c r="A24" t="s">
        <v>30</v>
      </c>
      <c r="B24" s="64">
        <f>SUM(B22:B23)</f>
        <v>284669</v>
      </c>
      <c r="C24" s="64">
        <f t="shared" ref="C24" si="2">SUM(C22:C23)</f>
        <v>266211.20000000001</v>
      </c>
      <c r="D24" s="118">
        <f>507400-87253</f>
        <v>420147</v>
      </c>
    </row>
    <row r="25" spans="1:6" ht="0.5" customHeight="1" thickTop="1"/>
    <row r="26" spans="1:6" ht="20.5" customHeight="1"/>
    <row r="30" spans="1:6">
      <c r="B30" s="5"/>
      <c r="C30" s="5"/>
      <c r="D30" s="5"/>
      <c r="E30" s="7"/>
    </row>
    <row r="31" spans="1:6">
      <c r="B31" s="9"/>
      <c r="C31" s="9"/>
      <c r="D31" s="9"/>
      <c r="E31" s="7"/>
    </row>
  </sheetData>
  <mergeCells count="4">
    <mergeCell ref="K3:L3"/>
    <mergeCell ref="A1:H1"/>
    <mergeCell ref="G3:H3"/>
    <mergeCell ref="I3:J3"/>
  </mergeCells>
  <phoneticPr fontId="15" type="noConversion"/>
  <pageMargins left="0.25" right="0.25" top="0.75" bottom="0.75" header="0.3" footer="0.3"/>
  <pageSetup scale="70" orientation="landscape" r:id="rId1"/>
</worksheet>
</file>

<file path=docMetadata/LabelInfo.xml><?xml version="1.0" encoding="utf-8"?>
<clbl:labelList xmlns:clbl="http://schemas.microsoft.com/office/2020/mipLabelMetadata">
  <clbl:label id="{22136781-9753-4c75-af28-68a078871ebf}" enabled="0" method="" siteId="{22136781-9753-4c75-af28-68a078871eb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10</vt:i4>
      </vt:variant>
    </vt:vector>
  </HeadingPairs>
  <TitlesOfParts>
    <vt:vector size="23" baseType="lpstr">
      <vt:lpstr>Case1</vt:lpstr>
      <vt:lpstr>Sheet2</vt:lpstr>
      <vt:lpstr>C1Work</vt:lpstr>
      <vt:lpstr>C1Provision</vt:lpstr>
      <vt:lpstr>Case2</vt:lpstr>
      <vt:lpstr>C2Year1Work</vt:lpstr>
      <vt:lpstr>C2Year2Work</vt:lpstr>
      <vt:lpstr>C2Year3Work</vt:lpstr>
      <vt:lpstr>C2Provision</vt:lpstr>
      <vt:lpstr>Case3</vt:lpstr>
      <vt:lpstr>C3Work</vt:lpstr>
      <vt:lpstr>C3Provision</vt:lpstr>
      <vt:lpstr>Sheet11</vt:lpstr>
      <vt:lpstr>Effect</vt:lpstr>
      <vt:lpstr>'C1Provision'!Print_Area</vt:lpstr>
      <vt:lpstr>'C2Provision'!Print_Area</vt:lpstr>
      <vt:lpstr>'C2Year1Work'!Print_Area</vt:lpstr>
      <vt:lpstr>'C2Year2Work'!Print_Area</vt:lpstr>
      <vt:lpstr>'C2Year3Work'!Print_Area</vt:lpstr>
      <vt:lpstr>'C3Provision'!Print_Area</vt:lpstr>
      <vt:lpstr>'C3Work'!Print_Area</vt:lpstr>
      <vt:lpstr>Case1!Print_Area</vt:lpstr>
      <vt:lpstr>Case2!Print_Area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2025-07-15T14:29:29Z</dcterms:created>
  <dcterms:modified xsi:type="dcterms:W3CDTF">2025-07-30T17:48:29Z</dcterms:modified>
  <cp:category/>
</cp:coreProperties>
</file>